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activeX/activeX2.bin" ContentType="application/vnd.ms-office.activeX"/>
  <Override PartName="/xl/activeX/activeX3.bin" ContentType="application/vnd.ms-office.activeX"/>
  <Override PartName="/xl/activeX/activeX4.bin" ContentType="application/vnd.ms-office.activeX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activeX/activeX5.xml" ContentType="application/vnd.ms-office.activeX+xml"/>
  <Override PartName="/xl/activeX/activeX6.xml" ContentType="application/vnd.ms-office.activeX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activeX/activeX2.xml" ContentType="application/vnd.ms-office.activeX+xml"/>
  <Override PartName="/xl/activeX/activeX3.xml" ContentType="application/vnd.ms-office.activeX+xml"/>
  <Override PartName="/xl/activeX/activeX4.xml" ContentType="application/vnd.ms-office.activeX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activeX/activeX1.xml" ContentType="application/vnd.ms-office.activeX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activeX/activeX5.bin" ContentType="application/vnd.ms-office.activeX"/>
  <Override PartName="/xl/activeX/activeX6.bin" ContentType="application/vnd.ms-office.activeX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240" yWindow="75" windowWidth="19935" windowHeight="7365"/>
  </bookViews>
  <sheets>
    <sheet name="Proy. Ventas x Canal" sheetId="1" r:id="rId1"/>
    <sheet name="Plan de compensación" sheetId="4" r:id="rId2"/>
    <sheet name="Ptto de promocion del pisco" sheetId="2" r:id="rId3"/>
    <sheet name="Cientes de la empresa" sheetId="5" r:id="rId4"/>
    <sheet name="Estadisticas del pisco" sheetId="6" r:id="rId5"/>
    <sheet name="Calculo WACC" sheetId="11" r:id="rId6"/>
    <sheet name="Tax USA" sheetId="7" r:id="rId7"/>
    <sheet name="S&amp;P500 y T-Bond" sheetId="8" r:id="rId8"/>
    <sheet name="Riesgo Pais" sheetId="10" r:id="rId9"/>
    <sheet name="Balanc. CToro-Constel" sheetId="9" r:id="rId10"/>
  </sheets>
  <externalReferences>
    <externalReference r:id="rId11"/>
    <externalReference r:id="rId12"/>
  </externalReferences>
  <definedNames>
    <definedName name="HTML_CodePage" hidden="1">1252</definedName>
    <definedName name="HTML_Control" localSheetId="5" hidden="1">{"'Sheet1'!$A$1:$G$85"}</definedName>
    <definedName name="HTML_Control" localSheetId="3" hidden="1">{"'Sheet1'!$A$1:$G$85"}</definedName>
    <definedName name="HTML_Control" localSheetId="4" hidden="1">{"'Sheet1'!$A$1:$G$85"}</definedName>
    <definedName name="HTML_Control" localSheetId="1" hidden="1">{"'Sheet1'!$A$1:$G$85"}</definedName>
    <definedName name="HTML_Control" localSheetId="2" hidden="1">{"'Sheet1'!$A$1:$G$85"}</definedName>
    <definedName name="HTML_Control" localSheetId="8" hidden="1">{"'Sheet1'!$A$1:$G$85"}</definedName>
    <definedName name="HTML_Control" hidden="1">{"'Sheet1'!$A$1:$G$85"}</definedName>
    <definedName name="HTML_Description" hidden="1">""</definedName>
    <definedName name="HTML_Email" hidden="1">""</definedName>
    <definedName name="HTML_Header" hidden="1">"Sheet1"</definedName>
    <definedName name="HTML_LastUpdate" hidden="1">"2/24/99"</definedName>
    <definedName name="HTML_LineAfter" hidden="1">TRUE</definedName>
    <definedName name="HTML_LineBefore" hidden="1">TRUE</definedName>
    <definedName name="HTML_Name" hidden="1">"Aswath Damodaran"</definedName>
    <definedName name="HTML_OBDlg2" hidden="1">TRUE</definedName>
    <definedName name="HTML_OBDlg4" hidden="1">TRUE</definedName>
    <definedName name="HTML_OS" hidden="1">1</definedName>
    <definedName name="HTML_PathFileMac" hidden="1">"Macintosh HD:HomePageStuff:New_Home_Page:datafile:histret.html"</definedName>
    <definedName name="HTML_Title" hidden="1">"Historical Returns on Stocks, Bonds and Bills"</definedName>
    <definedName name="HTML1_1" hidden="1">"[ReturnsHistorical]Sheet1!$A$1:$D$77"</definedName>
    <definedName name="HTML1_10" hidden="1">""</definedName>
    <definedName name="HTML1_11" hidden="1">1</definedName>
    <definedName name="HTML1_12" hidden="1">"Zip 100:New_Home_Page:datafile:histret.html"</definedName>
    <definedName name="HTML1_2" hidden="1">1</definedName>
    <definedName name="HTML1_3" hidden="1">"ReturnsHistorical"</definedName>
    <definedName name="HTML1_4" hidden="1">"Historical Returns on Stocks, Bonds and Bills"</definedName>
    <definedName name="HTML1_5" hidden="1">"Ibbotson Data"</definedName>
    <definedName name="HTML1_6" hidden="1">-4146</definedName>
    <definedName name="HTML1_7" hidden="1">-4146</definedName>
    <definedName name="HTML1_8" hidden="1">"3/17/97"</definedName>
    <definedName name="HTML1_9" hidden="1">"Aswath Damodaran"</definedName>
    <definedName name="HTML2_1" hidden="1">"[histret.xls]Sheet1!$A$1:$G$85"</definedName>
    <definedName name="HTML2_10" hidden="1">""</definedName>
    <definedName name="HTML2_11" hidden="1">1</definedName>
    <definedName name="HTML2_12" hidden="1">"Macintosh HD:New_Home_Page:datafile:histret.html"</definedName>
    <definedName name="HTML2_2" hidden="1">1</definedName>
    <definedName name="HTML2_3" hidden="1">"Historical Returns"</definedName>
    <definedName name="HTML2_4" hidden="1">"Historical Returns on Stocks, Bonds and Bills"</definedName>
    <definedName name="HTML2_5" hidden="1">""</definedName>
    <definedName name="HTML2_6" hidden="1">1</definedName>
    <definedName name="HTML2_7" hidden="1">1</definedName>
    <definedName name="HTML2_8" hidden="1">"2/3/98"</definedName>
    <definedName name="HTML2_9" hidden="1">"Aswath Damodaran"</definedName>
    <definedName name="HTMLCount" hidden="1">2</definedName>
  </definedNames>
  <calcPr calcId="145621"/>
</workbook>
</file>

<file path=xl/calcChain.xml><?xml version="1.0" encoding="utf-8"?>
<calcChain xmlns="http://schemas.openxmlformats.org/spreadsheetml/2006/main">
  <c r="B38" i="11"/>
  <c r="B36"/>
  <c r="B35"/>
  <c r="G11"/>
  <c r="G24" s="1"/>
  <c r="E11"/>
  <c r="E24" s="1"/>
  <c r="C82" i="10"/>
  <c r="D98" i="8"/>
  <c r="B98"/>
  <c r="I98" s="1"/>
  <c r="D97"/>
  <c r="B97"/>
  <c r="D96"/>
  <c r="C96"/>
  <c r="H96" s="1"/>
  <c r="B96"/>
  <c r="D95"/>
  <c r="C95"/>
  <c r="B95"/>
  <c r="D94"/>
  <c r="C94"/>
  <c r="B94"/>
  <c r="H94" s="1"/>
  <c r="D93"/>
  <c r="C93"/>
  <c r="B93"/>
  <c r="D92"/>
  <c r="C92"/>
  <c r="B92"/>
  <c r="D91"/>
  <c r="C91"/>
  <c r="B91"/>
  <c r="H91" s="1"/>
  <c r="D90"/>
  <c r="C90"/>
  <c r="B90"/>
  <c r="D89"/>
  <c r="D105" s="1"/>
  <c r="C89"/>
  <c r="B89"/>
  <c r="D88"/>
  <c r="C88"/>
  <c r="H88" s="1"/>
  <c r="B88"/>
  <c r="D87"/>
  <c r="C87"/>
  <c r="B87"/>
  <c r="D86"/>
  <c r="C86"/>
  <c r="B86"/>
  <c r="H86" s="1"/>
  <c r="D85"/>
  <c r="C85"/>
  <c r="B85"/>
  <c r="D84"/>
  <c r="C84"/>
  <c r="B84"/>
  <c r="D83"/>
  <c r="C83"/>
  <c r="B83"/>
  <c r="H83" s="1"/>
  <c r="D82"/>
  <c r="C82"/>
  <c r="B82"/>
  <c r="D81"/>
  <c r="C81"/>
  <c r="B81"/>
  <c r="D80"/>
  <c r="C80"/>
  <c r="H80" s="1"/>
  <c r="B80"/>
  <c r="D79"/>
  <c r="C79"/>
  <c r="B79"/>
  <c r="H79" s="1"/>
  <c r="D78"/>
  <c r="C78"/>
  <c r="B78"/>
  <c r="H78" s="1"/>
  <c r="D77"/>
  <c r="C77"/>
  <c r="B77"/>
  <c r="D76"/>
  <c r="C76"/>
  <c r="B76"/>
  <c r="D75"/>
  <c r="C75"/>
  <c r="B75"/>
  <c r="D74"/>
  <c r="C74"/>
  <c r="B74"/>
  <c r="D73"/>
  <c r="C73"/>
  <c r="B73"/>
  <c r="H73" s="1"/>
  <c r="D72"/>
  <c r="C72"/>
  <c r="H72" s="1"/>
  <c r="B72"/>
  <c r="D71"/>
  <c r="C71"/>
  <c r="B71"/>
  <c r="D70"/>
  <c r="C70"/>
  <c r="B70"/>
  <c r="H70" s="1"/>
  <c r="D69"/>
  <c r="C69"/>
  <c r="B69"/>
  <c r="D68"/>
  <c r="C68"/>
  <c r="B68"/>
  <c r="D67"/>
  <c r="C67"/>
  <c r="B67"/>
  <c r="D66"/>
  <c r="C66"/>
  <c r="B66"/>
  <c r="D65"/>
  <c r="C65"/>
  <c r="B65"/>
  <c r="H65" s="1"/>
  <c r="D64"/>
  <c r="C64"/>
  <c r="H64" s="1"/>
  <c r="B64"/>
  <c r="D63"/>
  <c r="C63"/>
  <c r="B63"/>
  <c r="H63" s="1"/>
  <c r="D62"/>
  <c r="C62"/>
  <c r="B62"/>
  <c r="D61"/>
  <c r="C61"/>
  <c r="B61"/>
  <c r="D60"/>
  <c r="C60"/>
  <c r="B60"/>
  <c r="D59"/>
  <c r="C59"/>
  <c r="B59"/>
  <c r="D58"/>
  <c r="C58"/>
  <c r="B58"/>
  <c r="D57"/>
  <c r="C57"/>
  <c r="B57"/>
  <c r="H57" s="1"/>
  <c r="D56"/>
  <c r="C56"/>
  <c r="B56"/>
  <c r="D55"/>
  <c r="C55"/>
  <c r="B55"/>
  <c r="H55" s="1"/>
  <c r="D54"/>
  <c r="C54"/>
  <c r="B54"/>
  <c r="D53"/>
  <c r="C53"/>
  <c r="B53"/>
  <c r="D52"/>
  <c r="C52"/>
  <c r="B52"/>
  <c r="D51"/>
  <c r="C51"/>
  <c r="B51"/>
  <c r="D50"/>
  <c r="C50"/>
  <c r="B50"/>
  <c r="D49"/>
  <c r="C49"/>
  <c r="B49"/>
  <c r="D48"/>
  <c r="C48"/>
  <c r="B48"/>
  <c r="D47"/>
  <c r="C47"/>
  <c r="B47"/>
  <c r="D46"/>
  <c r="C46"/>
  <c r="B46"/>
  <c r="D45"/>
  <c r="C45"/>
  <c r="B45"/>
  <c r="D44"/>
  <c r="C44"/>
  <c r="B44"/>
  <c r="D43"/>
  <c r="C43"/>
  <c r="B43"/>
  <c r="D42"/>
  <c r="C42"/>
  <c r="B42"/>
  <c r="D41"/>
  <c r="C41"/>
  <c r="B41"/>
  <c r="D40"/>
  <c r="C40"/>
  <c r="B40"/>
  <c r="D39"/>
  <c r="C39"/>
  <c r="B39"/>
  <c r="D38"/>
  <c r="C38"/>
  <c r="B38"/>
  <c r="D37"/>
  <c r="C37"/>
  <c r="B37"/>
  <c r="D36"/>
  <c r="C36"/>
  <c r="B36"/>
  <c r="D35"/>
  <c r="C35"/>
  <c r="B35"/>
  <c r="D34"/>
  <c r="C34"/>
  <c r="B34"/>
  <c r="D33"/>
  <c r="C33"/>
  <c r="B33"/>
  <c r="D32"/>
  <c r="C32"/>
  <c r="B32"/>
  <c r="D31"/>
  <c r="C31"/>
  <c r="B31"/>
  <c r="D30"/>
  <c r="C30"/>
  <c r="B30"/>
  <c r="D29"/>
  <c r="C29"/>
  <c r="B29"/>
  <c r="D28"/>
  <c r="C28"/>
  <c r="B28"/>
  <c r="D27"/>
  <c r="C27"/>
  <c r="B27"/>
  <c r="D26"/>
  <c r="C26"/>
  <c r="B26"/>
  <c r="D25"/>
  <c r="C25"/>
  <c r="B25"/>
  <c r="D24"/>
  <c r="C24"/>
  <c r="B24"/>
  <c r="D23"/>
  <c r="C23"/>
  <c r="B23"/>
  <c r="D22"/>
  <c r="C22"/>
  <c r="B22"/>
  <c r="D21"/>
  <c r="C21"/>
  <c r="B21"/>
  <c r="D20"/>
  <c r="B20"/>
  <c r="H20" s="1"/>
  <c r="D19"/>
  <c r="B19"/>
  <c r="H19" s="1"/>
  <c r="D18"/>
  <c r="B18"/>
  <c r="H18" s="1"/>
  <c r="D17"/>
  <c r="B17"/>
  <c r="H17" s="1"/>
  <c r="F16"/>
  <c r="F17" s="1"/>
  <c r="F18" s="1"/>
  <c r="F19" s="1"/>
  <c r="F20" s="1"/>
  <c r="F21" s="1"/>
  <c r="D16"/>
  <c r="B16"/>
  <c r="H16" s="1"/>
  <c r="F15"/>
  <c r="E9" s="1"/>
  <c r="D15"/>
  <c r="B15"/>
  <c r="E15" s="1"/>
  <c r="C91" i="4"/>
  <c r="C87"/>
  <c r="C82"/>
  <c r="C81"/>
  <c r="C77"/>
  <c r="C71"/>
  <c r="C72" s="1"/>
  <c r="N59"/>
  <c r="N61" s="1"/>
  <c r="F55"/>
  <c r="G55" s="1"/>
  <c r="H55" s="1"/>
  <c r="I55" s="1"/>
  <c r="J55" s="1"/>
  <c r="K55" s="1"/>
  <c r="L55" s="1"/>
  <c r="F54"/>
  <c r="G54" s="1"/>
  <c r="H54" s="1"/>
  <c r="I54" s="1"/>
  <c r="J54" s="1"/>
  <c r="K54" s="1"/>
  <c r="L54" s="1"/>
  <c r="F53"/>
  <c r="G53" s="1"/>
  <c r="H53" s="1"/>
  <c r="I53" s="1"/>
  <c r="J53" s="1"/>
  <c r="K53" s="1"/>
  <c r="L53" s="1"/>
  <c r="F52"/>
  <c r="G52" s="1"/>
  <c r="H52" s="1"/>
  <c r="I52" s="1"/>
  <c r="J52" s="1"/>
  <c r="K52" s="1"/>
  <c r="L52" s="1"/>
  <c r="F51"/>
  <c r="G51" s="1"/>
  <c r="H51" s="1"/>
  <c r="I51" s="1"/>
  <c r="J51" s="1"/>
  <c r="K51" s="1"/>
  <c r="L51" s="1"/>
  <c r="F50"/>
  <c r="G50" s="1"/>
  <c r="H50" s="1"/>
  <c r="I50" s="1"/>
  <c r="J50" s="1"/>
  <c r="K50" s="1"/>
  <c r="L50" s="1"/>
  <c r="E49"/>
  <c r="F49" s="1"/>
  <c r="D49"/>
  <c r="E48"/>
  <c r="F48" s="1"/>
  <c r="D48"/>
  <c r="C47"/>
  <c r="C28"/>
  <c r="C31" s="1"/>
  <c r="C10"/>
  <c r="C13" s="1"/>
  <c r="C14" s="1"/>
  <c r="C55" i="2"/>
  <c r="D55" s="1"/>
  <c r="C53"/>
  <c r="C52" s="1"/>
  <c r="G48"/>
  <c r="A48"/>
  <c r="M48" s="1"/>
  <c r="N47"/>
  <c r="M47"/>
  <c r="L47"/>
  <c r="K47"/>
  <c r="J47"/>
  <c r="I47"/>
  <c r="H47"/>
  <c r="G47"/>
  <c r="G44" s="1"/>
  <c r="G43" s="1"/>
  <c r="F47"/>
  <c r="E47"/>
  <c r="D47"/>
  <c r="C47"/>
  <c r="A45"/>
  <c r="N34"/>
  <c r="N28" s="1"/>
  <c r="L34"/>
  <c r="J34"/>
  <c r="J26" s="1"/>
  <c r="H34"/>
  <c r="H28" s="1"/>
  <c r="F34"/>
  <c r="F26" s="1"/>
  <c r="D34"/>
  <c r="K32"/>
  <c r="G32"/>
  <c r="C32"/>
  <c r="A32"/>
  <c r="L32" s="1"/>
  <c r="K31"/>
  <c r="E31"/>
  <c r="A31"/>
  <c r="K30"/>
  <c r="K24" s="1"/>
  <c r="A30"/>
  <c r="L30" s="1"/>
  <c r="M29"/>
  <c r="K29"/>
  <c r="I29"/>
  <c r="H29"/>
  <c r="E29"/>
  <c r="D29"/>
  <c r="C29"/>
  <c r="A29"/>
  <c r="M28"/>
  <c r="L28"/>
  <c r="K28"/>
  <c r="I28"/>
  <c r="G28"/>
  <c r="F28"/>
  <c r="E28"/>
  <c r="D28"/>
  <c r="C28"/>
  <c r="N27"/>
  <c r="M27"/>
  <c r="L27"/>
  <c r="K27"/>
  <c r="I27"/>
  <c r="G27"/>
  <c r="E27"/>
  <c r="D27"/>
  <c r="C27"/>
  <c r="M26"/>
  <c r="L26"/>
  <c r="K26"/>
  <c r="I26"/>
  <c r="H26"/>
  <c r="G26"/>
  <c r="E26"/>
  <c r="D26"/>
  <c r="C26"/>
  <c r="O25"/>
  <c r="M21"/>
  <c r="L21"/>
  <c r="K21"/>
  <c r="J21"/>
  <c r="I21"/>
  <c r="G21"/>
  <c r="F21"/>
  <c r="E21"/>
  <c r="D21"/>
  <c r="C21"/>
  <c r="N20"/>
  <c r="H20"/>
  <c r="A17"/>
  <c r="C17" s="1"/>
  <c r="D16"/>
  <c r="C14"/>
  <c r="D14" s="1"/>
  <c r="C13"/>
  <c r="H19" s="1"/>
  <c r="H21" s="1"/>
  <c r="A13"/>
  <c r="A19" s="1"/>
  <c r="L12"/>
  <c r="G12"/>
  <c r="C12"/>
  <c r="A11"/>
  <c r="C11" s="1"/>
  <c r="N9"/>
  <c r="N10" s="1"/>
  <c r="M9"/>
  <c r="M10" s="1"/>
  <c r="L9"/>
  <c r="L10" s="1"/>
  <c r="K9"/>
  <c r="K10" s="1"/>
  <c r="J9"/>
  <c r="J10" s="1"/>
  <c r="I9"/>
  <c r="I10" s="1"/>
  <c r="H9"/>
  <c r="H10" s="1"/>
  <c r="G9"/>
  <c r="G10" s="1"/>
  <c r="F9"/>
  <c r="F10" s="1"/>
  <c r="E9"/>
  <c r="E10" s="1"/>
  <c r="D9"/>
  <c r="D10" s="1"/>
  <c r="C9"/>
  <c r="O8"/>
  <c r="L8"/>
  <c r="C193" i="1"/>
  <c r="D193" s="1"/>
  <c r="E193" s="1"/>
  <c r="F193" s="1"/>
  <c r="G193" s="1"/>
  <c r="H193" s="1"/>
  <c r="I193" s="1"/>
  <c r="J193" s="1"/>
  <c r="K193" s="1"/>
  <c r="L193" s="1"/>
  <c r="M193" s="1"/>
  <c r="N193" s="1"/>
  <c r="C192"/>
  <c r="D192" s="1"/>
  <c r="E192" s="1"/>
  <c r="F192" s="1"/>
  <c r="G192" s="1"/>
  <c r="H192" s="1"/>
  <c r="I192" s="1"/>
  <c r="J192" s="1"/>
  <c r="K192" s="1"/>
  <c r="L192" s="1"/>
  <c r="M192" s="1"/>
  <c r="N192" s="1"/>
  <c r="C191"/>
  <c r="D191" s="1"/>
  <c r="E191" s="1"/>
  <c r="F191" s="1"/>
  <c r="G191" s="1"/>
  <c r="H191" s="1"/>
  <c r="I191" s="1"/>
  <c r="J191" s="1"/>
  <c r="K191" s="1"/>
  <c r="L191" s="1"/>
  <c r="M191" s="1"/>
  <c r="N191" s="1"/>
  <c r="C190"/>
  <c r="C189"/>
  <c r="D189" s="1"/>
  <c r="E189" s="1"/>
  <c r="F189" s="1"/>
  <c r="G189" s="1"/>
  <c r="H189" s="1"/>
  <c r="I189" s="1"/>
  <c r="J189" s="1"/>
  <c r="K189" s="1"/>
  <c r="L189" s="1"/>
  <c r="M189" s="1"/>
  <c r="N189" s="1"/>
  <c r="C188"/>
  <c r="D188" s="1"/>
  <c r="E188" s="1"/>
  <c r="F188" s="1"/>
  <c r="G188" s="1"/>
  <c r="H188" s="1"/>
  <c r="I188" s="1"/>
  <c r="J188" s="1"/>
  <c r="K188" s="1"/>
  <c r="L188" s="1"/>
  <c r="M188" s="1"/>
  <c r="N188" s="1"/>
  <c r="C186"/>
  <c r="C169"/>
  <c r="D169" s="1"/>
  <c r="E169" s="1"/>
  <c r="F169" s="1"/>
  <c r="G169" s="1"/>
  <c r="H169" s="1"/>
  <c r="I169" s="1"/>
  <c r="J169" s="1"/>
  <c r="K169" s="1"/>
  <c r="L169" s="1"/>
  <c r="M169" s="1"/>
  <c r="N169" s="1"/>
  <c r="C168"/>
  <c r="D168" s="1"/>
  <c r="E168" s="1"/>
  <c r="F168" s="1"/>
  <c r="G168" s="1"/>
  <c r="H168" s="1"/>
  <c r="I168" s="1"/>
  <c r="J168" s="1"/>
  <c r="K168" s="1"/>
  <c r="L168" s="1"/>
  <c r="M168" s="1"/>
  <c r="N168" s="1"/>
  <c r="C167"/>
  <c r="D167" s="1"/>
  <c r="E167" s="1"/>
  <c r="F167" s="1"/>
  <c r="G167" s="1"/>
  <c r="H167" s="1"/>
  <c r="I167" s="1"/>
  <c r="J167" s="1"/>
  <c r="K167" s="1"/>
  <c r="L167" s="1"/>
  <c r="M167" s="1"/>
  <c r="N167" s="1"/>
  <c r="C166"/>
  <c r="N145"/>
  <c r="M145"/>
  <c r="L145"/>
  <c r="K145"/>
  <c r="J145"/>
  <c r="I145"/>
  <c r="H145"/>
  <c r="G145"/>
  <c r="F145"/>
  <c r="E145"/>
  <c r="D145"/>
  <c r="C145"/>
  <c r="D133"/>
  <c r="E133" s="1"/>
  <c r="E132"/>
  <c r="F132" s="1"/>
  <c r="G132" s="1"/>
  <c r="H132" s="1"/>
  <c r="I132" s="1"/>
  <c r="J132" s="1"/>
  <c r="K132" s="1"/>
  <c r="L132" s="1"/>
  <c r="M132" s="1"/>
  <c r="N132" s="1"/>
  <c r="D132"/>
  <c r="E126"/>
  <c r="E155" s="1"/>
  <c r="D126"/>
  <c r="D155" s="1"/>
  <c r="C126"/>
  <c r="C155" s="1"/>
  <c r="E121"/>
  <c r="E173" s="1"/>
  <c r="D121"/>
  <c r="D173" s="1"/>
  <c r="C121"/>
  <c r="C173" s="1"/>
  <c r="F120"/>
  <c r="F121" s="1"/>
  <c r="K118"/>
  <c r="L118" s="1"/>
  <c r="M118" s="1"/>
  <c r="N118" s="1"/>
  <c r="I118"/>
  <c r="G118"/>
  <c r="E118"/>
  <c r="E115"/>
  <c r="D115"/>
  <c r="D172" s="1"/>
  <c r="C115"/>
  <c r="C137" s="1"/>
  <c r="F114"/>
  <c r="F126" s="1"/>
  <c r="F155" s="1"/>
  <c r="K112"/>
  <c r="L112" s="1"/>
  <c r="M112" s="1"/>
  <c r="N112" s="1"/>
  <c r="I112"/>
  <c r="G112"/>
  <c r="E112"/>
  <c r="C103"/>
  <c r="C104" s="1"/>
  <c r="C105" s="1"/>
  <c r="D93"/>
  <c r="E93" s="1"/>
  <c r="F93" s="1"/>
  <c r="G93" s="1"/>
  <c r="H93" s="1"/>
  <c r="I93" s="1"/>
  <c r="J93" s="1"/>
  <c r="K93" s="1"/>
  <c r="L93" s="1"/>
  <c r="M93" s="1"/>
  <c r="N93" s="1"/>
  <c r="C93"/>
  <c r="C92"/>
  <c r="D92" s="1"/>
  <c r="E92" s="1"/>
  <c r="F92" s="1"/>
  <c r="G92" s="1"/>
  <c r="H92" s="1"/>
  <c r="I92" s="1"/>
  <c r="J92" s="1"/>
  <c r="K92" s="1"/>
  <c r="L92" s="1"/>
  <c r="M92" s="1"/>
  <c r="N92" s="1"/>
  <c r="C80"/>
  <c r="C86" s="1"/>
  <c r="N78"/>
  <c r="M78"/>
  <c r="L78"/>
  <c r="H78"/>
  <c r="F78"/>
  <c r="D78"/>
  <c r="C75"/>
  <c r="D74"/>
  <c r="M72"/>
  <c r="I72"/>
  <c r="J72" s="1"/>
  <c r="J78" s="1"/>
  <c r="G72"/>
  <c r="G78" s="1"/>
  <c r="E72"/>
  <c r="E78" s="1"/>
  <c r="C63"/>
  <c r="C64" s="1"/>
  <c r="C53"/>
  <c r="D53" s="1"/>
  <c r="E53" s="1"/>
  <c r="F53" s="1"/>
  <c r="G53" s="1"/>
  <c r="H53" s="1"/>
  <c r="I53" s="1"/>
  <c r="J53" s="1"/>
  <c r="K53" s="1"/>
  <c r="L53" s="1"/>
  <c r="M53" s="1"/>
  <c r="N53" s="1"/>
  <c r="C52"/>
  <c r="D52" s="1"/>
  <c r="E52" s="1"/>
  <c r="F52" s="1"/>
  <c r="G52" s="1"/>
  <c r="H52" s="1"/>
  <c r="I52" s="1"/>
  <c r="J52" s="1"/>
  <c r="K52" s="1"/>
  <c r="L52" s="1"/>
  <c r="M52" s="1"/>
  <c r="N52" s="1"/>
  <c r="A26"/>
  <c r="C25"/>
  <c r="N23"/>
  <c r="M23"/>
  <c r="L23"/>
  <c r="K23"/>
  <c r="J23"/>
  <c r="I23"/>
  <c r="H23"/>
  <c r="G23"/>
  <c r="F23"/>
  <c r="E23"/>
  <c r="D23"/>
  <c r="D19" s="1"/>
  <c r="C20"/>
  <c r="C11"/>
  <c r="C12" s="1"/>
  <c r="N26" i="2" l="1"/>
  <c r="F27"/>
  <c r="N31"/>
  <c r="G31"/>
  <c r="L31"/>
  <c r="H48"/>
  <c r="H44" s="1"/>
  <c r="H43" s="1"/>
  <c r="K72" i="1"/>
  <c r="K78" s="1"/>
  <c r="C138"/>
  <c r="L11" i="2"/>
  <c r="C30"/>
  <c r="C24" s="1"/>
  <c r="C31"/>
  <c r="H31"/>
  <c r="M31"/>
  <c r="D44"/>
  <c r="D43" s="1"/>
  <c r="C48"/>
  <c r="C44" s="1"/>
  <c r="C43" s="1"/>
  <c r="K48"/>
  <c r="K44" s="1"/>
  <c r="K43" s="1"/>
  <c r="C92" i="4"/>
  <c r="C94" s="1"/>
  <c r="H30" i="8"/>
  <c r="H34"/>
  <c r="H38"/>
  <c r="I78" i="1"/>
  <c r="E137"/>
  <c r="E172"/>
  <c r="O26" i="2"/>
  <c r="H27"/>
  <c r="N29"/>
  <c r="G29"/>
  <c r="G24" s="1"/>
  <c r="L29"/>
  <c r="L24" s="1"/>
  <c r="G30"/>
  <c r="D31"/>
  <c r="I31"/>
  <c r="M44"/>
  <c r="M43" s="1"/>
  <c r="D48"/>
  <c r="L48"/>
  <c r="L44" s="1"/>
  <c r="L43" s="1"/>
  <c r="F26" i="11"/>
  <c r="B37" s="1"/>
  <c r="B43" s="1"/>
  <c r="B45" s="1"/>
  <c r="B47" s="1"/>
  <c r="B49" s="1"/>
  <c r="B58" s="1"/>
  <c r="I16" i="8"/>
  <c r="I19"/>
  <c r="H33"/>
  <c r="H37"/>
  <c r="H41"/>
  <c r="H45"/>
  <c r="I48"/>
  <c r="I52"/>
  <c r="H42"/>
  <c r="H46"/>
  <c r="H71"/>
  <c r="D103"/>
  <c r="H23"/>
  <c r="H27"/>
  <c r="H51"/>
  <c r="I96"/>
  <c r="H25"/>
  <c r="I20"/>
  <c r="I30"/>
  <c r="H31"/>
  <c r="H35"/>
  <c r="H39"/>
  <c r="H43"/>
  <c r="H47"/>
  <c r="H54"/>
  <c r="H56"/>
  <c r="H59"/>
  <c r="I64"/>
  <c r="I72"/>
  <c r="I76"/>
  <c r="H81"/>
  <c r="I83"/>
  <c r="H89"/>
  <c r="I91"/>
  <c r="I97"/>
  <c r="H29"/>
  <c r="H32"/>
  <c r="H36"/>
  <c r="H40"/>
  <c r="H44"/>
  <c r="H48"/>
  <c r="D104"/>
  <c r="I56"/>
  <c r="H87"/>
  <c r="I92"/>
  <c r="H95"/>
  <c r="H21"/>
  <c r="H49"/>
  <c r="H62"/>
  <c r="H67"/>
  <c r="H75"/>
  <c r="E16"/>
  <c r="E17" s="1"/>
  <c r="E18" s="1"/>
  <c r="E19" s="1"/>
  <c r="E20" s="1"/>
  <c r="E21" s="1"/>
  <c r="E22" s="1"/>
  <c r="E23" s="1"/>
  <c r="E24" s="1"/>
  <c r="E25" s="1"/>
  <c r="E26" s="1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  <c r="E45" s="1"/>
  <c r="E46" s="1"/>
  <c r="E47" s="1"/>
  <c r="E48" s="1"/>
  <c r="E8"/>
  <c r="I51"/>
  <c r="I60"/>
  <c r="I67"/>
  <c r="C103"/>
  <c r="H24"/>
  <c r="H28"/>
  <c r="I31"/>
  <c r="I32"/>
  <c r="I33"/>
  <c r="I34"/>
  <c r="I35"/>
  <c r="I36"/>
  <c r="I37"/>
  <c r="I38"/>
  <c r="I39"/>
  <c r="I40"/>
  <c r="I41"/>
  <c r="I42"/>
  <c r="I43"/>
  <c r="I44"/>
  <c r="I45"/>
  <c r="I46"/>
  <c r="I47"/>
  <c r="H50"/>
  <c r="H52"/>
  <c r="H61"/>
  <c r="I63"/>
  <c r="H66"/>
  <c r="H68"/>
  <c r="H77"/>
  <c r="D99"/>
  <c r="H82"/>
  <c r="H84"/>
  <c r="C105"/>
  <c r="H93"/>
  <c r="I95"/>
  <c r="I15"/>
  <c r="I59"/>
  <c r="I68"/>
  <c r="I75"/>
  <c r="I84"/>
  <c r="B103"/>
  <c r="G104" s="1"/>
  <c r="G15"/>
  <c r="F22"/>
  <c r="F23" s="1"/>
  <c r="F24" s="1"/>
  <c r="F25" s="1"/>
  <c r="F26" s="1"/>
  <c r="F27" s="1"/>
  <c r="F28" s="1"/>
  <c r="F29" s="1"/>
  <c r="F30" s="1"/>
  <c r="F31" s="1"/>
  <c r="F32" s="1"/>
  <c r="F33" s="1"/>
  <c r="F34" s="1"/>
  <c r="F35" s="1"/>
  <c r="F36" s="1"/>
  <c r="F37" s="1"/>
  <c r="F38" s="1"/>
  <c r="F39" s="1"/>
  <c r="F40" s="1"/>
  <c r="F41" s="1"/>
  <c r="F42" s="1"/>
  <c r="F43" s="1"/>
  <c r="F44" s="1"/>
  <c r="F45" s="1"/>
  <c r="F46" s="1"/>
  <c r="F47" s="1"/>
  <c r="F48" s="1"/>
  <c r="F49" s="1"/>
  <c r="F50" s="1"/>
  <c r="F51" s="1"/>
  <c r="F52" s="1"/>
  <c r="F53" s="1"/>
  <c r="F54" s="1"/>
  <c r="F55" s="1"/>
  <c r="F56" s="1"/>
  <c r="F57" s="1"/>
  <c r="F58" s="1"/>
  <c r="F59" s="1"/>
  <c r="F60" s="1"/>
  <c r="F61" s="1"/>
  <c r="F62" s="1"/>
  <c r="F63" s="1"/>
  <c r="F64" s="1"/>
  <c r="F65" s="1"/>
  <c r="F66" s="1"/>
  <c r="F67" s="1"/>
  <c r="F68" s="1"/>
  <c r="F69" s="1"/>
  <c r="F70" s="1"/>
  <c r="F71" s="1"/>
  <c r="F72" s="1"/>
  <c r="F73" s="1"/>
  <c r="F74" s="1"/>
  <c r="F75" s="1"/>
  <c r="F76" s="1"/>
  <c r="F77" s="1"/>
  <c r="F78" s="1"/>
  <c r="F79" s="1"/>
  <c r="F80" s="1"/>
  <c r="F81" s="1"/>
  <c r="F82" s="1"/>
  <c r="F83" s="1"/>
  <c r="F84" s="1"/>
  <c r="F85" s="1"/>
  <c r="F86" s="1"/>
  <c r="F87" s="1"/>
  <c r="F88" s="1"/>
  <c r="F89" s="1"/>
  <c r="F90" s="1"/>
  <c r="F91" s="1"/>
  <c r="F92" s="1"/>
  <c r="F93" s="1"/>
  <c r="F94" s="1"/>
  <c r="F95" s="1"/>
  <c r="F96" s="1"/>
  <c r="F97" s="1"/>
  <c r="F98" s="1"/>
  <c r="C109" s="1"/>
  <c r="I18"/>
  <c r="H22"/>
  <c r="H26"/>
  <c r="C104"/>
  <c r="H53"/>
  <c r="I55"/>
  <c r="H58"/>
  <c r="H60"/>
  <c r="H69"/>
  <c r="I71"/>
  <c r="H74"/>
  <c r="H76"/>
  <c r="B99"/>
  <c r="I80"/>
  <c r="H85"/>
  <c r="I87"/>
  <c r="I88"/>
  <c r="H90"/>
  <c r="H92"/>
  <c r="D11" i="1"/>
  <c r="E11" s="1"/>
  <c r="E12" s="1"/>
  <c r="G11" i="2"/>
  <c r="O11" s="1"/>
  <c r="O9"/>
  <c r="C10"/>
  <c r="O10" s="1"/>
  <c r="O12"/>
  <c r="N19"/>
  <c r="N21" s="1"/>
  <c r="O21" s="1"/>
  <c r="C110" i="8"/>
  <c r="H15"/>
  <c r="I21"/>
  <c r="I22"/>
  <c r="I23"/>
  <c r="I24"/>
  <c r="I25"/>
  <c r="I26"/>
  <c r="I27"/>
  <c r="I28"/>
  <c r="I29"/>
  <c r="I79"/>
  <c r="H97"/>
  <c r="H98"/>
  <c r="B104"/>
  <c r="I17"/>
  <c r="I50"/>
  <c r="I54"/>
  <c r="I58"/>
  <c r="I62"/>
  <c r="I66"/>
  <c r="I70"/>
  <c r="I74"/>
  <c r="I78"/>
  <c r="I82"/>
  <c r="I86"/>
  <c r="I90"/>
  <c r="I94"/>
  <c r="B105"/>
  <c r="I49"/>
  <c r="I53"/>
  <c r="I57"/>
  <c r="I61"/>
  <c r="I65"/>
  <c r="I69"/>
  <c r="I73"/>
  <c r="I77"/>
  <c r="I81"/>
  <c r="I85"/>
  <c r="I89"/>
  <c r="I93"/>
  <c r="G48" i="4"/>
  <c r="H48" s="1"/>
  <c r="G49"/>
  <c r="H49" s="1"/>
  <c r="I49" s="1"/>
  <c r="J49" s="1"/>
  <c r="K49" s="1"/>
  <c r="L49" s="1"/>
  <c r="C93"/>
  <c r="C32"/>
  <c r="C83"/>
  <c r="C84" s="1"/>
  <c r="C73"/>
  <c r="C74" s="1"/>
  <c r="I48"/>
  <c r="C60"/>
  <c r="C18" i="2"/>
  <c r="D17"/>
  <c r="E17" s="1"/>
  <c r="F17" s="1"/>
  <c r="G17" s="1"/>
  <c r="H17" s="1"/>
  <c r="I17" s="1"/>
  <c r="J17" s="1"/>
  <c r="K17" s="1"/>
  <c r="L17" s="1"/>
  <c r="M17" s="1"/>
  <c r="N17" s="1"/>
  <c r="D53"/>
  <c r="D52" s="1"/>
  <c r="E55"/>
  <c r="D15"/>
  <c r="E14"/>
  <c r="N32"/>
  <c r="F30"/>
  <c r="J30"/>
  <c r="J32"/>
  <c r="E16"/>
  <c r="J27"/>
  <c r="O27" s="1"/>
  <c r="E30"/>
  <c r="I30"/>
  <c r="M30"/>
  <c r="E32"/>
  <c r="E24" s="1"/>
  <c r="I32"/>
  <c r="M32"/>
  <c r="F48"/>
  <c r="F44" s="1"/>
  <c r="F43" s="1"/>
  <c r="J48"/>
  <c r="J44" s="1"/>
  <c r="J43" s="1"/>
  <c r="N48"/>
  <c r="N44" s="1"/>
  <c r="N43" s="1"/>
  <c r="C15"/>
  <c r="J28"/>
  <c r="O28" s="1"/>
  <c r="N30"/>
  <c r="N24" s="1"/>
  <c r="F32"/>
  <c r="F29"/>
  <c r="O29" s="1"/>
  <c r="J29"/>
  <c r="D30"/>
  <c r="H30"/>
  <c r="F31"/>
  <c r="O31" s="1"/>
  <c r="J31"/>
  <c r="D32"/>
  <c r="H32"/>
  <c r="E48"/>
  <c r="E44" s="1"/>
  <c r="E43" s="1"/>
  <c r="I48"/>
  <c r="I44" s="1"/>
  <c r="O145" i="1"/>
  <c r="C34"/>
  <c r="C35" s="1"/>
  <c r="C57" s="1"/>
  <c r="O193"/>
  <c r="C40"/>
  <c r="C41" s="1"/>
  <c r="D63"/>
  <c r="E63" s="1"/>
  <c r="E64" s="1"/>
  <c r="D34"/>
  <c r="D35" s="1"/>
  <c r="D57" s="1"/>
  <c r="D12"/>
  <c r="D75"/>
  <c r="E74"/>
  <c r="C139"/>
  <c r="C160" s="1"/>
  <c r="E138"/>
  <c r="E139" s="1"/>
  <c r="E160" s="1"/>
  <c r="F133"/>
  <c r="G133" s="1"/>
  <c r="H133" s="1"/>
  <c r="I133" s="1"/>
  <c r="J133" s="1"/>
  <c r="K133" s="1"/>
  <c r="L133" s="1"/>
  <c r="M133" s="1"/>
  <c r="N133" s="1"/>
  <c r="O189"/>
  <c r="E19"/>
  <c r="C65"/>
  <c r="O191"/>
  <c r="C180"/>
  <c r="C81"/>
  <c r="D80"/>
  <c r="D86" s="1"/>
  <c r="F138"/>
  <c r="F173"/>
  <c r="D25"/>
  <c r="D20"/>
  <c r="C87"/>
  <c r="C97"/>
  <c r="C26"/>
  <c r="D103"/>
  <c r="G114"/>
  <c r="F115"/>
  <c r="C172"/>
  <c r="O188"/>
  <c r="O192"/>
  <c r="E127"/>
  <c r="E128" s="1"/>
  <c r="D138"/>
  <c r="D166"/>
  <c r="D186"/>
  <c r="C187"/>
  <c r="C194" s="1"/>
  <c r="D190"/>
  <c r="E190" s="1"/>
  <c r="F190" s="1"/>
  <c r="G190" s="1"/>
  <c r="H190" s="1"/>
  <c r="I190" s="1"/>
  <c r="J190" s="1"/>
  <c r="K190" s="1"/>
  <c r="L190" s="1"/>
  <c r="M190" s="1"/>
  <c r="N190" s="1"/>
  <c r="G120"/>
  <c r="D127"/>
  <c r="D128" s="1"/>
  <c r="D137"/>
  <c r="C127"/>
  <c r="E65" l="1"/>
  <c r="E179" s="1"/>
  <c r="F11"/>
  <c r="G11" s="1"/>
  <c r="G12" s="1"/>
  <c r="H24" i="2"/>
  <c r="I24"/>
  <c r="O32"/>
  <c r="O30"/>
  <c r="D139" i="1"/>
  <c r="D160" s="1"/>
  <c r="C171"/>
  <c r="M24" i="2"/>
  <c r="O60" i="4"/>
  <c r="O61" s="1"/>
  <c r="H106" i="8"/>
  <c r="C108"/>
  <c r="F104"/>
  <c r="G16"/>
  <c r="G17" s="1"/>
  <c r="G18" s="1"/>
  <c r="G19" s="1"/>
  <c r="G20" s="1"/>
  <c r="G21" s="1"/>
  <c r="G22" s="1"/>
  <c r="G23" s="1"/>
  <c r="G24" s="1"/>
  <c r="G25" s="1"/>
  <c r="G26" s="1"/>
  <c r="G27" s="1"/>
  <c r="G28" s="1"/>
  <c r="G29" s="1"/>
  <c r="G30" s="1"/>
  <c r="G31" s="1"/>
  <c r="G32" s="1"/>
  <c r="G33" s="1"/>
  <c r="G34" s="1"/>
  <c r="G35" s="1"/>
  <c r="G36" s="1"/>
  <c r="G37" s="1"/>
  <c r="G38" s="1"/>
  <c r="G39" s="1"/>
  <c r="G40" s="1"/>
  <c r="G41" s="1"/>
  <c r="G42" s="1"/>
  <c r="G43" s="1"/>
  <c r="G44" s="1"/>
  <c r="G45" s="1"/>
  <c r="G46" s="1"/>
  <c r="G47" s="1"/>
  <c r="E10"/>
  <c r="I104"/>
  <c r="H105"/>
  <c r="C58" i="1"/>
  <c r="C59" s="1"/>
  <c r="C158" s="1"/>
  <c r="C47"/>
  <c r="D64"/>
  <c r="D65" s="1"/>
  <c r="D179" s="1"/>
  <c r="C170"/>
  <c r="D18" i="2"/>
  <c r="D7" s="1"/>
  <c r="F63" i="1"/>
  <c r="F106" i="8"/>
  <c r="G106"/>
  <c r="I105"/>
  <c r="H104"/>
  <c r="F105"/>
  <c r="G105"/>
  <c r="E49"/>
  <c r="I106"/>
  <c r="H47" i="4"/>
  <c r="J48"/>
  <c r="I47"/>
  <c r="I43" i="2"/>
  <c r="O43" s="1"/>
  <c r="O44"/>
  <c r="O24"/>
  <c r="E53"/>
  <c r="E52" s="1"/>
  <c r="F55"/>
  <c r="C7"/>
  <c r="D24"/>
  <c r="F24"/>
  <c r="E15"/>
  <c r="F14"/>
  <c r="E18"/>
  <c r="F16"/>
  <c r="J24"/>
  <c r="O190" i="1"/>
  <c r="C46"/>
  <c r="C154" s="1"/>
  <c r="H11"/>
  <c r="E166"/>
  <c r="C88"/>
  <c r="C128"/>
  <c r="E186"/>
  <c r="D187"/>
  <c r="E187" s="1"/>
  <c r="F187" s="1"/>
  <c r="G187" s="1"/>
  <c r="H187" s="1"/>
  <c r="I187" s="1"/>
  <c r="J187" s="1"/>
  <c r="K187" s="1"/>
  <c r="L187" s="1"/>
  <c r="M187" s="1"/>
  <c r="N187" s="1"/>
  <c r="G126"/>
  <c r="G115"/>
  <c r="H114"/>
  <c r="C98"/>
  <c r="C99" s="1"/>
  <c r="C159" s="1"/>
  <c r="E20"/>
  <c r="F19"/>
  <c r="E34"/>
  <c r="D97"/>
  <c r="G121"/>
  <c r="H120"/>
  <c r="F172"/>
  <c r="F137"/>
  <c r="F127"/>
  <c r="F128" s="1"/>
  <c r="C156"/>
  <c r="C48"/>
  <c r="D104"/>
  <c r="D105" s="1"/>
  <c r="E103"/>
  <c r="D40"/>
  <c r="E25"/>
  <c r="D26"/>
  <c r="D81"/>
  <c r="D98" s="1"/>
  <c r="E80"/>
  <c r="C179"/>
  <c r="E75"/>
  <c r="E86"/>
  <c r="F74"/>
  <c r="D170"/>
  <c r="F12" l="1"/>
  <c r="C174"/>
  <c r="D87"/>
  <c r="D88" s="1"/>
  <c r="G48" i="8"/>
  <c r="J47"/>
  <c r="G63" i="1"/>
  <c r="F64"/>
  <c r="F65" s="1"/>
  <c r="F179" s="1"/>
  <c r="E7" i="2"/>
  <c r="E50" i="8"/>
  <c r="K48" i="4"/>
  <c r="J47"/>
  <c r="F15" i="2"/>
  <c r="G14"/>
  <c r="G55"/>
  <c r="F53"/>
  <c r="F52" s="1"/>
  <c r="F18"/>
  <c r="G16"/>
  <c r="O187" i="1"/>
  <c r="D194"/>
  <c r="I11"/>
  <c r="H12"/>
  <c r="F75"/>
  <c r="G74"/>
  <c r="G173"/>
  <c r="G138"/>
  <c r="C157"/>
  <c r="C161"/>
  <c r="H126"/>
  <c r="H155" s="1"/>
  <c r="H115"/>
  <c r="I114"/>
  <c r="E97"/>
  <c r="D41"/>
  <c r="D46"/>
  <c r="D180"/>
  <c r="F166"/>
  <c r="D99"/>
  <c r="D159" s="1"/>
  <c r="C181"/>
  <c r="C199"/>
  <c r="E35"/>
  <c r="G137"/>
  <c r="G139" s="1"/>
  <c r="G160" s="1"/>
  <c r="G127"/>
  <c r="G128" s="1"/>
  <c r="G172"/>
  <c r="F186"/>
  <c r="E194"/>
  <c r="H121"/>
  <c r="I120"/>
  <c r="E81"/>
  <c r="E98" s="1"/>
  <c r="F80"/>
  <c r="E26"/>
  <c r="F25"/>
  <c r="E40"/>
  <c r="E41" s="1"/>
  <c r="F103"/>
  <c r="E104"/>
  <c r="E105" s="1"/>
  <c r="E180" s="1"/>
  <c r="F139"/>
  <c r="F160" s="1"/>
  <c r="F34"/>
  <c r="F20"/>
  <c r="G19"/>
  <c r="G155"/>
  <c r="G49" i="8" l="1"/>
  <c r="J48"/>
  <c r="G64" i="1"/>
  <c r="G65" s="1"/>
  <c r="G179" s="1"/>
  <c r="H63"/>
  <c r="E51" i="8"/>
  <c r="K47" i="4"/>
  <c r="L48"/>
  <c r="G18" i="2"/>
  <c r="H16"/>
  <c r="H14"/>
  <c r="G15"/>
  <c r="H55"/>
  <c r="G53"/>
  <c r="G52" s="1"/>
  <c r="F7"/>
  <c r="I12" i="1"/>
  <c r="J11"/>
  <c r="E171"/>
  <c r="E58"/>
  <c r="D199"/>
  <c r="D181"/>
  <c r="F81"/>
  <c r="F98" s="1"/>
  <c r="G80"/>
  <c r="E199"/>
  <c r="E181"/>
  <c r="H173"/>
  <c r="H138"/>
  <c r="G166"/>
  <c r="E99"/>
  <c r="E159" s="1"/>
  <c r="I126"/>
  <c r="I115"/>
  <c r="J114"/>
  <c r="G75"/>
  <c r="H74"/>
  <c r="F35"/>
  <c r="F104"/>
  <c r="F105" s="1"/>
  <c r="G103"/>
  <c r="D171"/>
  <c r="D58"/>
  <c r="D47"/>
  <c r="G20"/>
  <c r="H19"/>
  <c r="G34"/>
  <c r="F40"/>
  <c r="F41" s="1"/>
  <c r="G25"/>
  <c r="F26"/>
  <c r="I121"/>
  <c r="J120"/>
  <c r="F194"/>
  <c r="G186"/>
  <c r="E170"/>
  <c r="E47"/>
  <c r="E57"/>
  <c r="D154"/>
  <c r="H172"/>
  <c r="H137"/>
  <c r="H127"/>
  <c r="H128" s="1"/>
  <c r="F97"/>
  <c r="F86"/>
  <c r="E87"/>
  <c r="E46"/>
  <c r="E154" s="1"/>
  <c r="F87" l="1"/>
  <c r="F88" s="1"/>
  <c r="G50" i="8"/>
  <c r="J49"/>
  <c r="H64" i="1"/>
  <c r="H65" s="1"/>
  <c r="H179" s="1"/>
  <c r="I63"/>
  <c r="E52" i="8"/>
  <c r="C61" i="4"/>
  <c r="C62" s="1"/>
  <c r="L47"/>
  <c r="H18" i="2"/>
  <c r="I16"/>
  <c r="H15"/>
  <c r="I14"/>
  <c r="G7"/>
  <c r="H53"/>
  <c r="H52" s="1"/>
  <c r="I55"/>
  <c r="K11" i="1"/>
  <c r="J12"/>
  <c r="E156"/>
  <c r="E48"/>
  <c r="I173"/>
  <c r="I138"/>
  <c r="F171"/>
  <c r="F58"/>
  <c r="D156"/>
  <c r="D48"/>
  <c r="G104"/>
  <c r="G105" s="1"/>
  <c r="G180" s="1"/>
  <c r="H103"/>
  <c r="I172"/>
  <c r="I137"/>
  <c r="I127"/>
  <c r="I128" s="1"/>
  <c r="G81"/>
  <c r="H80"/>
  <c r="E88"/>
  <c r="E59"/>
  <c r="E158" s="1"/>
  <c r="E161" s="1"/>
  <c r="J121"/>
  <c r="K120"/>
  <c r="J126"/>
  <c r="J155" s="1"/>
  <c r="J115"/>
  <c r="K114"/>
  <c r="F99"/>
  <c r="F159" s="1"/>
  <c r="H139"/>
  <c r="H160" s="1"/>
  <c r="H34"/>
  <c r="H20"/>
  <c r="I19"/>
  <c r="D59"/>
  <c r="D158" s="1"/>
  <c r="F170"/>
  <c r="F174" s="1"/>
  <c r="F57"/>
  <c r="F59" s="1"/>
  <c r="F158" s="1"/>
  <c r="F47"/>
  <c r="G97"/>
  <c r="G194"/>
  <c r="H186"/>
  <c r="H86"/>
  <c r="H75"/>
  <c r="I74"/>
  <c r="G26"/>
  <c r="H25"/>
  <c r="G40"/>
  <c r="G41" s="1"/>
  <c r="D174"/>
  <c r="E174"/>
  <c r="G35"/>
  <c r="F180"/>
  <c r="I155"/>
  <c r="H166"/>
  <c r="F46"/>
  <c r="F154" s="1"/>
  <c r="G86"/>
  <c r="F161" l="1"/>
  <c r="G51" i="8"/>
  <c r="J50"/>
  <c r="H7" i="2"/>
  <c r="I64" i="1"/>
  <c r="I65" s="1"/>
  <c r="I179" s="1"/>
  <c r="J63"/>
  <c r="E53" i="8"/>
  <c r="J14" i="2"/>
  <c r="I15"/>
  <c r="I53"/>
  <c r="I52" s="1"/>
  <c r="J55"/>
  <c r="J16"/>
  <c r="I18"/>
  <c r="G46" i="1"/>
  <c r="G154" s="1"/>
  <c r="K12"/>
  <c r="L11"/>
  <c r="I166"/>
  <c r="K126"/>
  <c r="K115"/>
  <c r="L114"/>
  <c r="J138"/>
  <c r="J173"/>
  <c r="G98"/>
  <c r="G170"/>
  <c r="G47"/>
  <c r="G57"/>
  <c r="D161"/>
  <c r="H35"/>
  <c r="H81"/>
  <c r="H98" s="1"/>
  <c r="I80"/>
  <c r="I86" s="1"/>
  <c r="D157"/>
  <c r="G58"/>
  <c r="G171"/>
  <c r="H87"/>
  <c r="H88" s="1"/>
  <c r="H97"/>
  <c r="G87"/>
  <c r="I139"/>
  <c r="I160" s="1"/>
  <c r="H104"/>
  <c r="H105" s="1"/>
  <c r="I103"/>
  <c r="H40"/>
  <c r="I25"/>
  <c r="H26"/>
  <c r="F156"/>
  <c r="F48"/>
  <c r="F157" s="1"/>
  <c r="K121"/>
  <c r="L120"/>
  <c r="F181"/>
  <c r="F199"/>
  <c r="J74"/>
  <c r="I75"/>
  <c r="H194"/>
  <c r="I186"/>
  <c r="I20"/>
  <c r="J19"/>
  <c r="I34"/>
  <c r="J172"/>
  <c r="J137"/>
  <c r="J127"/>
  <c r="G199"/>
  <c r="G181"/>
  <c r="G99"/>
  <c r="G159" s="1"/>
  <c r="E157"/>
  <c r="H99" l="1"/>
  <c r="H159" s="1"/>
  <c r="G52" i="8"/>
  <c r="J51"/>
  <c r="K63" i="1"/>
  <c r="J64"/>
  <c r="J65" s="1"/>
  <c r="J179" s="1"/>
  <c r="I7" i="2"/>
  <c r="E54" i="8"/>
  <c r="K55" i="2"/>
  <c r="J53"/>
  <c r="J52" s="1"/>
  <c r="J18"/>
  <c r="K16"/>
  <c r="J15"/>
  <c r="K14"/>
  <c r="L12" i="1"/>
  <c r="M11"/>
  <c r="G174"/>
  <c r="J186"/>
  <c r="I194"/>
  <c r="L121"/>
  <c r="M120"/>
  <c r="H180"/>
  <c r="H57"/>
  <c r="H170"/>
  <c r="G156"/>
  <c r="G48"/>
  <c r="K155"/>
  <c r="J139"/>
  <c r="J160" s="1"/>
  <c r="J75"/>
  <c r="K74"/>
  <c r="J103"/>
  <c r="I104"/>
  <c r="I105" s="1"/>
  <c r="I180" s="1"/>
  <c r="G88"/>
  <c r="K137"/>
  <c r="K127"/>
  <c r="K128" s="1"/>
  <c r="K172"/>
  <c r="G59"/>
  <c r="G158" s="1"/>
  <c r="J128"/>
  <c r="J34"/>
  <c r="K19"/>
  <c r="J20"/>
  <c r="I97"/>
  <c r="H41"/>
  <c r="H47" s="1"/>
  <c r="I81"/>
  <c r="I87" s="1"/>
  <c r="I88" s="1"/>
  <c r="J80"/>
  <c r="L126"/>
  <c r="L155" s="1"/>
  <c r="L115"/>
  <c r="M114"/>
  <c r="I35"/>
  <c r="K173"/>
  <c r="K138"/>
  <c r="I26"/>
  <c r="J25"/>
  <c r="I40"/>
  <c r="I41" s="1"/>
  <c r="J166"/>
  <c r="H46"/>
  <c r="G53" i="8" l="1"/>
  <c r="J52"/>
  <c r="L63" i="1"/>
  <c r="K64"/>
  <c r="K65" s="1"/>
  <c r="K179" s="1"/>
  <c r="E55" i="8"/>
  <c r="L55" i="2"/>
  <c r="K53"/>
  <c r="K52" s="1"/>
  <c r="J7"/>
  <c r="L14"/>
  <c r="K15"/>
  <c r="K18"/>
  <c r="L16"/>
  <c r="N11" i="1"/>
  <c r="N12" s="1"/>
  <c r="M12"/>
  <c r="I171"/>
  <c r="I58"/>
  <c r="I170"/>
  <c r="I47"/>
  <c r="I57"/>
  <c r="L173"/>
  <c r="L138"/>
  <c r="L172"/>
  <c r="L137"/>
  <c r="L127"/>
  <c r="L128" s="1"/>
  <c r="K75"/>
  <c r="L74"/>
  <c r="M121"/>
  <c r="N120"/>
  <c r="J194"/>
  <c r="K186"/>
  <c r="I46"/>
  <c r="I154" s="1"/>
  <c r="K139"/>
  <c r="K160" s="1"/>
  <c r="G157"/>
  <c r="K166"/>
  <c r="K80"/>
  <c r="K86" s="1"/>
  <c r="J81"/>
  <c r="J98" s="1"/>
  <c r="J35"/>
  <c r="K20"/>
  <c r="L19"/>
  <c r="K34"/>
  <c r="I199"/>
  <c r="I181"/>
  <c r="J87"/>
  <c r="J88" s="1"/>
  <c r="J97"/>
  <c r="J99" s="1"/>
  <c r="J159" s="1"/>
  <c r="J40"/>
  <c r="J41" s="1"/>
  <c r="K25"/>
  <c r="J26"/>
  <c r="M126"/>
  <c r="M115"/>
  <c r="N114"/>
  <c r="I98"/>
  <c r="I99" s="1"/>
  <c r="I159" s="1"/>
  <c r="H171"/>
  <c r="H174" s="1"/>
  <c r="H58"/>
  <c r="H59" s="1"/>
  <c r="H158" s="1"/>
  <c r="J86"/>
  <c r="H154"/>
  <c r="J104"/>
  <c r="J105" s="1"/>
  <c r="J180" s="1"/>
  <c r="K103"/>
  <c r="H156"/>
  <c r="H48"/>
  <c r="H199"/>
  <c r="H181"/>
  <c r="G161"/>
  <c r="G54" i="8" l="1"/>
  <c r="J53"/>
  <c r="L64" i="1"/>
  <c r="L65" s="1"/>
  <c r="L179" s="1"/>
  <c r="M63"/>
  <c r="E56" i="8"/>
  <c r="L53" i="2"/>
  <c r="L52" s="1"/>
  <c r="M55"/>
  <c r="K7"/>
  <c r="L18"/>
  <c r="M16"/>
  <c r="L15"/>
  <c r="M14"/>
  <c r="I174" i="1"/>
  <c r="J46"/>
  <c r="J154" s="1"/>
  <c r="H161"/>
  <c r="H157"/>
  <c r="K194"/>
  <c r="L186"/>
  <c r="K97"/>
  <c r="J181"/>
  <c r="J199"/>
  <c r="L166"/>
  <c r="K104"/>
  <c r="K105" s="1"/>
  <c r="K180" s="1"/>
  <c r="L103"/>
  <c r="N126"/>
  <c r="N155" s="1"/>
  <c r="O155" s="1"/>
  <c r="N115"/>
  <c r="O114"/>
  <c r="K26"/>
  <c r="K40"/>
  <c r="K41" s="1"/>
  <c r="L25"/>
  <c r="K81"/>
  <c r="K98" s="1"/>
  <c r="L80"/>
  <c r="N121"/>
  <c r="O120"/>
  <c r="L75"/>
  <c r="M74"/>
  <c r="L139"/>
  <c r="L160" s="1"/>
  <c r="I156"/>
  <c r="I48"/>
  <c r="I157" s="1"/>
  <c r="K35"/>
  <c r="K46"/>
  <c r="K154" s="1"/>
  <c r="M172"/>
  <c r="M137"/>
  <c r="M127"/>
  <c r="M128" s="1"/>
  <c r="J171"/>
  <c r="J58"/>
  <c r="J170"/>
  <c r="J57"/>
  <c r="J47"/>
  <c r="M173"/>
  <c r="M138"/>
  <c r="L34"/>
  <c r="L20"/>
  <c r="M19"/>
  <c r="I59"/>
  <c r="I158" s="1"/>
  <c r="I161" s="1"/>
  <c r="M155"/>
  <c r="O126"/>
  <c r="K87" l="1"/>
  <c r="K88" s="1"/>
  <c r="G55" i="8"/>
  <c r="J54"/>
  <c r="M64" i="1"/>
  <c r="M65" s="1"/>
  <c r="N63"/>
  <c r="N64" s="1"/>
  <c r="N65" s="1"/>
  <c r="N179" s="1"/>
  <c r="L7" i="2"/>
  <c r="E57" i="8"/>
  <c r="N16" i="2"/>
  <c r="N18" s="1"/>
  <c r="M18"/>
  <c r="M53"/>
  <c r="M52" s="1"/>
  <c r="N55"/>
  <c r="N53" s="1"/>
  <c r="M15"/>
  <c r="N14"/>
  <c r="N15" s="1"/>
  <c r="L97" i="1"/>
  <c r="L104"/>
  <c r="L105" s="1"/>
  <c r="L180" s="1"/>
  <c r="M103"/>
  <c r="N74"/>
  <c r="M75"/>
  <c r="L40"/>
  <c r="L41" s="1"/>
  <c r="M25"/>
  <c r="L26"/>
  <c r="N172"/>
  <c r="O172" s="1"/>
  <c r="N137"/>
  <c r="N127"/>
  <c r="O115"/>
  <c r="M166"/>
  <c r="J174"/>
  <c r="M139"/>
  <c r="M160" s="1"/>
  <c r="K99"/>
  <c r="K159" s="1"/>
  <c r="J156"/>
  <c r="J48"/>
  <c r="J157" s="1"/>
  <c r="L81"/>
  <c r="L98" s="1"/>
  <c r="M80"/>
  <c r="M86" s="1"/>
  <c r="M20"/>
  <c r="N19"/>
  <c r="M34"/>
  <c r="N138"/>
  <c r="O138" s="1"/>
  <c r="N173"/>
  <c r="O173" s="1"/>
  <c r="O121"/>
  <c r="K58"/>
  <c r="K171"/>
  <c r="L35"/>
  <c r="J59"/>
  <c r="J158" s="1"/>
  <c r="J161" s="1"/>
  <c r="K170"/>
  <c r="K47"/>
  <c r="K57"/>
  <c r="K199"/>
  <c r="K181"/>
  <c r="L194"/>
  <c r="M186"/>
  <c r="L86"/>
  <c r="G56" i="8" l="1"/>
  <c r="J55"/>
  <c r="O65" i="1"/>
  <c r="M179"/>
  <c r="O179" s="1"/>
  <c r="E58" i="8"/>
  <c r="N7" i="2"/>
  <c r="O15"/>
  <c r="N52"/>
  <c r="O52" s="1"/>
  <c r="O53"/>
  <c r="M7"/>
  <c r="O18"/>
  <c r="K59" i="1"/>
  <c r="K158" s="1"/>
  <c r="K161" s="1"/>
  <c r="L46"/>
  <c r="L154" s="1"/>
  <c r="N186"/>
  <c r="M194"/>
  <c r="N128"/>
  <c r="O128" s="1"/>
  <c r="O127"/>
  <c r="M26"/>
  <c r="N25"/>
  <c r="M40"/>
  <c r="M41" s="1"/>
  <c r="N75"/>
  <c r="O74"/>
  <c r="K174"/>
  <c r="L99"/>
  <c r="L159" s="1"/>
  <c r="K156"/>
  <c r="K48"/>
  <c r="K157" s="1"/>
  <c r="L57"/>
  <c r="L170"/>
  <c r="L47"/>
  <c r="N34"/>
  <c r="N20"/>
  <c r="O20" s="1"/>
  <c r="O19"/>
  <c r="M97"/>
  <c r="M99" s="1"/>
  <c r="M159" s="1"/>
  <c r="M87"/>
  <c r="M88" s="1"/>
  <c r="L87"/>
  <c r="L88" s="1"/>
  <c r="M35"/>
  <c r="L199"/>
  <c r="L181"/>
  <c r="M81"/>
  <c r="M98" s="1"/>
  <c r="N80"/>
  <c r="N86" s="1"/>
  <c r="O86" s="1"/>
  <c r="N166"/>
  <c r="N139"/>
  <c r="N160" s="1"/>
  <c r="O137"/>
  <c r="O139" s="1"/>
  <c r="O160" s="1"/>
  <c r="L171"/>
  <c r="L58"/>
  <c r="N103"/>
  <c r="N104" s="1"/>
  <c r="N105" s="1"/>
  <c r="M104"/>
  <c r="M105" s="1"/>
  <c r="M180" s="1"/>
  <c r="G57" i="8" l="1"/>
  <c r="J56"/>
  <c r="M46" i="1"/>
  <c r="M154" s="1"/>
  <c r="E59" i="8"/>
  <c r="O7" i="2"/>
  <c r="M199" i="1"/>
  <c r="M181"/>
  <c r="N40"/>
  <c r="N46" s="1"/>
  <c r="N26"/>
  <c r="O26" s="1"/>
  <c r="O25"/>
  <c r="N35"/>
  <c r="O34"/>
  <c r="M171"/>
  <c r="M58"/>
  <c r="N180"/>
  <c r="O105"/>
  <c r="M170"/>
  <c r="M47"/>
  <c r="M57"/>
  <c r="N194"/>
  <c r="O186"/>
  <c r="O194" s="1"/>
  <c r="L174"/>
  <c r="N81"/>
  <c r="O80"/>
  <c r="L156"/>
  <c r="L48"/>
  <c r="L157" s="1"/>
  <c r="N97"/>
  <c r="O75"/>
  <c r="L59"/>
  <c r="L158" s="1"/>
  <c r="L161" s="1"/>
  <c r="G58" i="8" l="1"/>
  <c r="J57"/>
  <c r="M59" i="1"/>
  <c r="M158" s="1"/>
  <c r="M161" s="1"/>
  <c r="E60" i="8"/>
  <c r="M174" i="1"/>
  <c r="N154"/>
  <c r="O154" s="1"/>
  <c r="O46"/>
  <c r="M156"/>
  <c r="M48"/>
  <c r="M157" s="1"/>
  <c r="O97"/>
  <c r="O99" s="1"/>
  <c r="N98"/>
  <c r="O98" s="1"/>
  <c r="O81"/>
  <c r="N41"/>
  <c r="N47" s="1"/>
  <c r="O40"/>
  <c r="O180"/>
  <c r="O181" s="1"/>
  <c r="N181"/>
  <c r="N199"/>
  <c r="O199" s="1"/>
  <c r="N170"/>
  <c r="N57"/>
  <c r="O35"/>
  <c r="N87"/>
  <c r="G59" i="8" l="1"/>
  <c r="J58"/>
  <c r="Q199" i="1"/>
  <c r="E61" i="8"/>
  <c r="O57" i="1"/>
  <c r="N156"/>
  <c r="O156" s="1"/>
  <c r="N48"/>
  <c r="O47"/>
  <c r="Q47" s="1"/>
  <c r="N171"/>
  <c r="O171" s="1"/>
  <c r="N58"/>
  <c r="O58" s="1"/>
  <c r="O41"/>
  <c r="N99"/>
  <c r="N159" s="1"/>
  <c r="O159" s="1"/>
  <c r="O170"/>
  <c r="N88"/>
  <c r="O88" s="1"/>
  <c r="O87"/>
  <c r="G60" i="8" l="1"/>
  <c r="J59"/>
  <c r="E62"/>
  <c r="O59" i="1"/>
  <c r="N157"/>
  <c r="O157" s="1"/>
  <c r="R157" s="1"/>
  <c r="O48"/>
  <c r="N174"/>
  <c r="O174" s="1"/>
  <c r="N59"/>
  <c r="N158" s="1"/>
  <c r="G61" i="8" l="1"/>
  <c r="J60"/>
  <c r="E63"/>
  <c r="N161" i="1"/>
  <c r="O158"/>
  <c r="O161" s="1"/>
  <c r="G62" i="8" l="1"/>
  <c r="J61"/>
  <c r="E64"/>
  <c r="G63" l="1"/>
  <c r="J62"/>
  <c r="E65"/>
  <c r="G64" l="1"/>
  <c r="J63"/>
  <c r="E66"/>
  <c r="G65" l="1"/>
  <c r="J64"/>
  <c r="E67"/>
  <c r="G66" l="1"/>
  <c r="J65"/>
  <c r="E68"/>
  <c r="G67" l="1"/>
  <c r="J66"/>
  <c r="E69"/>
  <c r="G68" l="1"/>
  <c r="J67"/>
  <c r="E70"/>
  <c r="G69" l="1"/>
  <c r="J68"/>
  <c r="E71"/>
  <c r="G70" l="1"/>
  <c r="J69"/>
  <c r="E72"/>
  <c r="G71" l="1"/>
  <c r="J70"/>
  <c r="E73"/>
  <c r="G72" l="1"/>
  <c r="J71"/>
  <c r="E74"/>
  <c r="G73" l="1"/>
  <c r="J72"/>
  <c r="E75"/>
  <c r="G74" l="1"/>
  <c r="J73"/>
  <c r="E76"/>
  <c r="G75" l="1"/>
  <c r="J74"/>
  <c r="E77"/>
  <c r="G76" l="1"/>
  <c r="J75"/>
  <c r="E78"/>
  <c r="G77" l="1"/>
  <c r="J76"/>
  <c r="E79"/>
  <c r="G78" l="1"/>
  <c r="J77"/>
  <c r="E80"/>
  <c r="G79" l="1"/>
  <c r="J78"/>
  <c r="E81"/>
  <c r="G80" l="1"/>
  <c r="J79"/>
  <c r="E82"/>
  <c r="G81" l="1"/>
  <c r="J80"/>
  <c r="E83"/>
  <c r="G82" l="1"/>
  <c r="J81"/>
  <c r="E84"/>
  <c r="G83" l="1"/>
  <c r="J82"/>
  <c r="E85"/>
  <c r="G84" l="1"/>
  <c r="J83"/>
  <c r="E86"/>
  <c r="G85" l="1"/>
  <c r="J84"/>
  <c r="E87"/>
  <c r="G86" l="1"/>
  <c r="J85"/>
  <c r="E88"/>
  <c r="G87" l="1"/>
  <c r="J86"/>
  <c r="E89"/>
  <c r="G88" l="1"/>
  <c r="J87"/>
  <c r="E90"/>
  <c r="G89" l="1"/>
  <c r="J88"/>
  <c r="E91"/>
  <c r="G90" l="1"/>
  <c r="J89"/>
  <c r="E92"/>
  <c r="G91" l="1"/>
  <c r="J90"/>
  <c r="E93"/>
  <c r="G92" l="1"/>
  <c r="J91"/>
  <c r="E94"/>
  <c r="G93" l="1"/>
  <c r="J92"/>
  <c r="E95"/>
  <c r="G94" l="1"/>
  <c r="J93"/>
  <c r="E96"/>
  <c r="G95" l="1"/>
  <c r="J94"/>
  <c r="E97"/>
  <c r="G96" l="1"/>
  <c r="J95"/>
  <c r="E98"/>
  <c r="G97" l="1"/>
  <c r="J96"/>
  <c r="B109"/>
  <c r="B110"/>
  <c r="B108"/>
  <c r="G98" l="1"/>
  <c r="J97"/>
  <c r="E11"/>
  <c r="F111"/>
  <c r="F110"/>
  <c r="F109"/>
  <c r="D108" l="1"/>
  <c r="G109" s="1"/>
  <c r="D110"/>
  <c r="G111" s="1"/>
  <c r="D109"/>
  <c r="G110" s="1"/>
  <c r="J98"/>
</calcChain>
</file>

<file path=xl/comments1.xml><?xml version="1.0" encoding="utf-8"?>
<comments xmlns="http://schemas.openxmlformats.org/spreadsheetml/2006/main">
  <authors>
    <author>Carlos</author>
  </authors>
  <commentList>
    <comment ref="A9" authorId="0">
      <text>
        <r>
          <rPr>
            <sz val="9"/>
            <color indexed="81"/>
            <rFont val="Tahoma"/>
            <family val="2"/>
          </rPr>
          <t xml:space="preserve">Evento de activaciones solo los dias Viernes, sabado y Domingo
</t>
        </r>
      </text>
    </comment>
    <comment ref="A11" authorId="0">
      <text>
        <r>
          <rPr>
            <b/>
            <sz val="9"/>
            <color indexed="81"/>
            <rFont val="Tahoma"/>
            <family val="2"/>
          </rPr>
          <t>Incluye uniforme no solo zapatos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Aswath Damodaran</author>
  </authors>
  <commentList>
    <comment ref="C5" authorId="0">
      <text>
        <r>
          <rPr>
            <b/>
            <sz val="9"/>
            <color indexed="81"/>
            <rFont val="Geneva"/>
          </rPr>
          <t>Aswath Damodaran:</t>
        </r>
        <r>
          <rPr>
            <sz val="9"/>
            <color indexed="81"/>
            <rFont val="Geneva"/>
          </rPr>
          <t xml:space="preserve">
ST: Short term (Treasury bill)
LT: Long term (Treasury bond)</t>
        </r>
      </text>
    </comment>
    <comment ref="C6" authorId="0">
      <text>
        <r>
          <rPr>
            <b/>
            <sz val="9"/>
            <color indexed="81"/>
            <rFont val="Geneva"/>
          </rPr>
          <t>Aswath Damodaran:</t>
        </r>
        <r>
          <rPr>
            <sz val="9"/>
            <color indexed="81"/>
            <rFont val="Geneva"/>
          </rPr>
          <t xml:space="preserve">
The risk premium will be computed from this year to the current year.</t>
        </r>
      </text>
    </comment>
  </commentList>
</comments>
</file>

<file path=xl/sharedStrings.xml><?xml version="1.0" encoding="utf-8"?>
<sst xmlns="http://schemas.openxmlformats.org/spreadsheetml/2006/main" count="1232" uniqueCount="620">
  <si>
    <t>SUPUESTOS DE VENTA X CANAL</t>
  </si>
  <si>
    <t>A)</t>
  </si>
  <si>
    <t>Canal Horizontal</t>
  </si>
  <si>
    <t>A-1</t>
  </si>
  <si>
    <t>Numero de Vendedores por canal</t>
  </si>
  <si>
    <t>Mes 1</t>
  </si>
  <si>
    <t>Mes 2</t>
  </si>
  <si>
    <t>Mes 3</t>
  </si>
  <si>
    <t>Mes 4</t>
  </si>
  <si>
    <t>Mes 5</t>
  </si>
  <si>
    <t>Mes 6</t>
  </si>
  <si>
    <t>Mes 7</t>
  </si>
  <si>
    <t>Mes 8</t>
  </si>
  <si>
    <t>Mes 9</t>
  </si>
  <si>
    <t>Mes 10</t>
  </si>
  <si>
    <t>Mes 11</t>
  </si>
  <si>
    <t>Mes 12</t>
  </si>
  <si>
    <t>Vendedores</t>
  </si>
  <si>
    <t>TOTAL</t>
  </si>
  <si>
    <t>A-2</t>
  </si>
  <si>
    <t>Productividad por Vendedor</t>
  </si>
  <si>
    <t>PISCO ACHOLADO 750 ML</t>
  </si>
  <si>
    <t>Tasa de Crecimiento</t>
  </si>
  <si>
    <t>Colocacion de Cajas (12 Unidades)</t>
  </si>
  <si>
    <t>Colocacion de Botellas</t>
  </si>
  <si>
    <t>PISCO QUEBRANTA 750 ML</t>
  </si>
  <si>
    <t>A-3</t>
  </si>
  <si>
    <t>Productividad total del canal - Horizontal</t>
  </si>
  <si>
    <t>ACHOLADO 750 ML</t>
  </si>
  <si>
    <t>Colocacion de Cajas (x 12 Unidades)</t>
  </si>
  <si>
    <t>Total Colocacion de Botellas</t>
  </si>
  <si>
    <t>QUEBRANTA 750 ML</t>
  </si>
  <si>
    <t>TOTAL CANAL HORIZONTAL</t>
  </si>
  <si>
    <t>Total Colocacion en litros</t>
  </si>
  <si>
    <t>A-4</t>
  </si>
  <si>
    <t>Precio Promedio por Tipo de Pisco</t>
  </si>
  <si>
    <t>ACHOLADO (precio por unidad)</t>
  </si>
  <si>
    <t>QUEBRANTA (Precio por unidad)</t>
  </si>
  <si>
    <t>A-5</t>
  </si>
  <si>
    <t>Ingresos promedio por Tipo de Pisco</t>
  </si>
  <si>
    <t xml:space="preserve">ACHOLADO </t>
  </si>
  <si>
    <t xml:space="preserve">QUEBRANTA </t>
  </si>
  <si>
    <t>A-6</t>
  </si>
  <si>
    <t>Comision estimada a la Fuerza de Ventas</t>
  </si>
  <si>
    <t>BASE IMPONIBLE VARIABLE</t>
  </si>
  <si>
    <t>POR VENDEDOR</t>
  </si>
  <si>
    <t>POR EMPRESA</t>
  </si>
  <si>
    <t>B)</t>
  </si>
  <si>
    <t>RETAIL</t>
  </si>
  <si>
    <t>B-1</t>
  </si>
  <si>
    <t>Colocacion en SUPERMERCADOS</t>
  </si>
  <si>
    <t>TOTAL RETAIL</t>
  </si>
  <si>
    <t>B-2</t>
  </si>
  <si>
    <t>B-3</t>
  </si>
  <si>
    <t>B-4</t>
  </si>
  <si>
    <t>Comision estimada por venta a RETAIL</t>
  </si>
  <si>
    <t>GERENTE DE VENTAS</t>
  </si>
  <si>
    <t>C)</t>
  </si>
  <si>
    <t>EXPORTACIONES</t>
  </si>
  <si>
    <t>c-1</t>
  </si>
  <si>
    <t>Colocacion en EEUU</t>
  </si>
  <si>
    <t>Colocacion de Cajas (x 6 Unidades)</t>
  </si>
  <si>
    <t>TOTAL EXPORTACIONES</t>
  </si>
  <si>
    <t>C-2</t>
  </si>
  <si>
    <t>C-3</t>
  </si>
  <si>
    <t>C-4</t>
  </si>
  <si>
    <t>Comision estimada por exportaciones</t>
  </si>
  <si>
    <t>RESUMEN</t>
  </si>
  <si>
    <t>TOTAL DE CAJAS VENDIDAS (12 unidades)</t>
  </si>
  <si>
    <t>TOTAL DE CAJAS VENDIDAS (6 unidades)</t>
  </si>
  <si>
    <t>TOTAL DE BOTELLAS VENDIDAS</t>
  </si>
  <si>
    <t>TOTAL DE LITROS VENDIDOS</t>
  </si>
  <si>
    <t>CANAL HORIZONTAL (ingresos)</t>
  </si>
  <si>
    <t>CANAL RETAIL (ingresos)</t>
  </si>
  <si>
    <t>CANAL EXPORTADOR (ingresos)</t>
  </si>
  <si>
    <t>TOTAL (ingresos)</t>
  </si>
  <si>
    <t>D)</t>
  </si>
  <si>
    <t>COSTO DE PRODUCCIÓN</t>
  </si>
  <si>
    <t>COSTO POR BOTELLA ACHOLADO - LOCAL</t>
  </si>
  <si>
    <t>COSTO POR BOTELLA QUEBRANTA - LOCAL</t>
  </si>
  <si>
    <t>COSTO POR BOTELLA ACHOLADO - USA</t>
  </si>
  <si>
    <t>COSTO POR BOTELLA QUEBRANTA - USA</t>
  </si>
  <si>
    <t>BOTELLAS VENDIDAS ACHOLADO - LOCAL</t>
  </si>
  <si>
    <t>BOTELLAS VENDIDAS QUEBRENTA- LOCAL</t>
  </si>
  <si>
    <t>BOTELLAS VENDIDAS ACHOLADO - USA</t>
  </si>
  <si>
    <t>BOTELLAS VENDIDAS QUEBRENTA- USA</t>
  </si>
  <si>
    <t>TOTAL COSTO</t>
  </si>
  <si>
    <t>E)</t>
  </si>
  <si>
    <t>TOTAL DE COMISIONES</t>
  </si>
  <si>
    <t>CANAL HORIZONTAL</t>
  </si>
  <si>
    <t>CANAL RETAIL</t>
  </si>
  <si>
    <t>F)</t>
  </si>
  <si>
    <t>SUELDOS FIJOS</t>
  </si>
  <si>
    <t>Gerente Comercial</t>
  </si>
  <si>
    <t>Vendedores de campo</t>
  </si>
  <si>
    <t>Chofer de reparto</t>
  </si>
  <si>
    <t>Ayudante de Chofer</t>
  </si>
  <si>
    <t>Asistente de Adm y Contabilidad</t>
  </si>
  <si>
    <t>Operario Logistico</t>
  </si>
  <si>
    <t>Gestor de cobranza</t>
  </si>
  <si>
    <t>Promotores (R x honorarios)</t>
  </si>
  <si>
    <t>TOTAL SUELDOS</t>
  </si>
  <si>
    <t>G)</t>
  </si>
  <si>
    <t>CARGA SOCIAL</t>
  </si>
  <si>
    <t>COSTO ADICIONAL DE PLANILLA</t>
  </si>
  <si>
    <t>cuadra</t>
  </si>
  <si>
    <t>No se considera con carga a las promotoras</t>
  </si>
  <si>
    <t>Presupuesto de promocion en el Punto de Venta</t>
  </si>
  <si>
    <t>TOTAL Anual</t>
  </si>
  <si>
    <t>a)</t>
  </si>
  <si>
    <t>Canal Retail (S/.)</t>
  </si>
  <si>
    <t>Numero de Activaciones</t>
  </si>
  <si>
    <t>Costo promedio por Alquiler de espacio (1x1)</t>
  </si>
  <si>
    <t>Total Activaciones</t>
  </si>
  <si>
    <t>Unformes de impulsadoras</t>
  </si>
  <si>
    <t>Confeccion de Banners</t>
  </si>
  <si>
    <t>Confeccion de modulos (1X1)</t>
  </si>
  <si>
    <t>Costo promedio x modulo (1X1)</t>
  </si>
  <si>
    <t>Total de inversion en modulos</t>
  </si>
  <si>
    <t>Numero de botellas en demo</t>
  </si>
  <si>
    <t>Costo promedio x botella.</t>
  </si>
  <si>
    <t>Mtto 2 veces al año</t>
  </si>
  <si>
    <t>Total de muestras y degustaciones</t>
  </si>
  <si>
    <t>Numero de modulos (1X1)</t>
  </si>
  <si>
    <t>Costo promedio x mtto de modulo (1X1)</t>
  </si>
  <si>
    <t>Total de Mantenimientos</t>
  </si>
  <si>
    <t>b)</t>
  </si>
  <si>
    <t>Canal Exportador (S/.)</t>
  </si>
  <si>
    <t>Numero de Eventos (EEUU)</t>
  </si>
  <si>
    <t>Permisos y licencias</t>
  </si>
  <si>
    <t>Costo promedio por Activacion*</t>
  </si>
  <si>
    <t>Pasaje Aereo</t>
  </si>
  <si>
    <t>Hospedaje (3 dias promedio)</t>
  </si>
  <si>
    <t>viaticos (3 dias promedio)</t>
  </si>
  <si>
    <t>Movilidad</t>
  </si>
  <si>
    <t>Combustible</t>
  </si>
  <si>
    <t>Tipo de cambio</t>
  </si>
  <si>
    <t>(fuentes de estudios economicos bbva)</t>
  </si>
  <si>
    <t>*En el costo promedio incluye la habilitacion del punto de venta, solo se participara en evento que congreguen a gran cantidad de gente (2000 personas o mas) como el Funcy Food.</t>
  </si>
  <si>
    <t>Nota: se podria contratar a una empresa en USA para que realice el evento</t>
  </si>
  <si>
    <t>Presupuesto de publicidad</t>
  </si>
  <si>
    <t>Emisoras Radiales</t>
  </si>
  <si>
    <t>Viva FM</t>
  </si>
  <si>
    <t>Numero Pautas diarias</t>
  </si>
  <si>
    <t>Numero de dias contratados (7 dias)</t>
  </si>
  <si>
    <t>Segundos x pauta</t>
  </si>
  <si>
    <t>Costo por Segundo</t>
  </si>
  <si>
    <t>Revistas</t>
  </si>
  <si>
    <t>Publireportajes - Caretas</t>
  </si>
  <si>
    <t>Numero de Veces</t>
  </si>
  <si>
    <t>Costo por reportajes</t>
  </si>
  <si>
    <t>Composición</t>
  </si>
  <si>
    <t>Cargo</t>
  </si>
  <si>
    <t>Cantidad</t>
  </si>
  <si>
    <t>sueldo fijo</t>
  </si>
  <si>
    <t xml:space="preserve">Fijo </t>
  </si>
  <si>
    <t>variable</t>
  </si>
  <si>
    <t>Base Variable imponible</t>
  </si>
  <si>
    <t>Alcance máximo variable</t>
  </si>
  <si>
    <t>Alcance sobre cuota (Total en soles)</t>
  </si>
  <si>
    <t>Costo de la planilla de ventas</t>
  </si>
  <si>
    <t>Costo Total de la planilla (Mes)</t>
  </si>
  <si>
    <t>Costo Total de la planilla (Anual)</t>
  </si>
  <si>
    <t>Personal de Ventas</t>
  </si>
  <si>
    <t xml:space="preserve">1.- </t>
  </si>
  <si>
    <t>Distribución de Sueldo</t>
  </si>
  <si>
    <t>%</t>
  </si>
  <si>
    <t>Fijo</t>
  </si>
  <si>
    <t>Variable</t>
  </si>
  <si>
    <t>Sueldo fijo asignado</t>
  </si>
  <si>
    <t>Sueldo Variable Asignado</t>
  </si>
  <si>
    <t>Total de remuneración</t>
  </si>
  <si>
    <t>Metodologia de calculo</t>
  </si>
  <si>
    <t>El sueldo variable corresponde al 100% del alcance de cuota con un tope maximo de 120%</t>
  </si>
  <si>
    <t>En caso no llegar al 100% se prorrateara la base imponible variable con el porcentaje alcanzado</t>
  </si>
  <si>
    <t>El alcance de la cuota estara hecho en base a la cobranza producto de la venta de todos los canales de venta a nivel nacional.</t>
  </si>
  <si>
    <t>Se descontara la facturacion no cobrada mayor a 60 dias despues del vencimiento en el mes vigente no siendo retroactivo.</t>
  </si>
  <si>
    <t>El porcentaje minimo para hacerse acreedor a la remuneracion variable es del 40% caso contrario no cobrara por este concepto.</t>
  </si>
  <si>
    <t xml:space="preserve">2.- </t>
  </si>
  <si>
    <t>Vendedor de campo</t>
  </si>
  <si>
    <t>El alcance de la cuota estara hecho en base a la colocación y cobranza producto de la venta en el canal horizontal (Mayoristas)</t>
  </si>
  <si>
    <t>El Vendedor se hara acreedor a un bono trimestral de S/. 1,200 nuevos soles si es que su productividad es igual o mayor a 85%.</t>
  </si>
  <si>
    <t>Estimacion de la planilla en base al alcance de cuota maximo de 150%</t>
  </si>
  <si>
    <t>Administracion</t>
  </si>
  <si>
    <t>Ventas</t>
  </si>
  <si>
    <t>Gasto de Administracion</t>
  </si>
  <si>
    <t>Gasto de Ventas</t>
  </si>
  <si>
    <t>Total</t>
  </si>
  <si>
    <t>Aplicación y ejemplo del plan de comisión</t>
  </si>
  <si>
    <t>Caso 1 - Vendedor</t>
  </si>
  <si>
    <t>(a)</t>
  </si>
  <si>
    <t>Cuota</t>
  </si>
  <si>
    <t>Total facturado del mes</t>
  </si>
  <si>
    <t>(Venta)</t>
  </si>
  <si>
    <t>(-)</t>
  </si>
  <si>
    <t>Cobranza pendiente &gt; 30 días</t>
  </si>
  <si>
    <t>(Mes Anterior)</t>
  </si>
  <si>
    <t>(+)</t>
  </si>
  <si>
    <t>Recuperación de cobranza</t>
  </si>
  <si>
    <t>(b)</t>
  </si>
  <si>
    <t>Valor de la cobranza</t>
  </si>
  <si>
    <t>Alcance (b/a)</t>
  </si>
  <si>
    <t>Base imponible variable</t>
  </si>
  <si>
    <t>Total Comisión</t>
  </si>
  <si>
    <t>Caso 2 - Vendedor</t>
  </si>
  <si>
    <t>Caso 3 - Vendedor</t>
  </si>
  <si>
    <t xml:space="preserve">Planilla mensual </t>
  </si>
  <si>
    <t>Plan de compensacion</t>
  </si>
  <si>
    <t>Clientes potenciales de la empresa</t>
  </si>
  <si>
    <t>Tipo de tienda / Actividad</t>
  </si>
  <si>
    <t>Cliente</t>
  </si>
  <si>
    <t>Ambito de aplicacion</t>
  </si>
  <si>
    <t>Objetivo Principal</t>
  </si>
  <si>
    <t>Tiendas por departamento</t>
  </si>
  <si>
    <t>Saga Falabella</t>
  </si>
  <si>
    <t>Nacional</t>
  </si>
  <si>
    <t>Generar Ventas teniendo presencia de nueva marca en puntos con alta concentracion de personas</t>
  </si>
  <si>
    <t>Rumas</t>
  </si>
  <si>
    <t>Ripley</t>
  </si>
  <si>
    <t>Oeshle</t>
  </si>
  <si>
    <t>Cadenas de Supermercados</t>
  </si>
  <si>
    <t>Tiendas Tottus</t>
  </si>
  <si>
    <t>Generar Ventas en un volumen superior al de las tiendas por departamento, a traves de la satisfaccion del cliente en encontrar un Pisco de Calidad con una buena presentación en los supermercados mas importantes del pais.</t>
  </si>
  <si>
    <t>Metro</t>
  </si>
  <si>
    <t>Facing</t>
  </si>
  <si>
    <t>Wong</t>
  </si>
  <si>
    <t>Plaza Vea</t>
  </si>
  <si>
    <t>Tiendas ECCO</t>
  </si>
  <si>
    <t>Centros Comerciales</t>
  </si>
  <si>
    <t>Real Plaza</t>
  </si>
  <si>
    <t>Generar demanda entre los transeuntes o clientes que acuden al Centro Comercial. Esta estrategia tiene como fin dar a conocer y a la vez impulsar la nueva marca de pisco en sus 02 presentaciones.</t>
  </si>
  <si>
    <t>Megaplaza</t>
  </si>
  <si>
    <t>Open Plaza</t>
  </si>
  <si>
    <t>Impulsador</t>
  </si>
  <si>
    <t>Mall Aventura Plaza</t>
  </si>
  <si>
    <t>Grupo el Quinde</t>
  </si>
  <si>
    <t>Grupo Minka</t>
  </si>
  <si>
    <t>Bodegas</t>
  </si>
  <si>
    <t>Distribuidores</t>
  </si>
  <si>
    <t>Aprovechar la capilaridad o el despligue de los distribuidores segun su zona de influencia.</t>
  </si>
  <si>
    <t>Mayoristas</t>
  </si>
  <si>
    <t>Generar Ventas y presencia de marca a traves de los mayoristas de licores mas importantes de cada departamento.</t>
  </si>
  <si>
    <t>equipo de ventas</t>
  </si>
  <si>
    <t>Exportación</t>
  </si>
  <si>
    <t>Importadores de otras marcas</t>
  </si>
  <si>
    <t>Internacional</t>
  </si>
  <si>
    <t>Segun la regulacion en los Estados Unidos de Norteamerica, los productos deben ser vendidos a un importador autorizado quien e su vez se lo derivara al mayorista y esta a su vez al minorista.</t>
  </si>
  <si>
    <t>Representante de ventas</t>
  </si>
  <si>
    <t>Nuevos empresarios</t>
  </si>
  <si>
    <t>Fuente: SUNAT</t>
  </si>
  <si>
    <t xml:space="preserve">Fuente: SUNAT </t>
  </si>
  <si>
    <t> -- </t>
  </si>
  <si>
    <t>Otros Paises (33)</t>
  </si>
  <si>
    <t>Otras Empresas (77)</t>
  </si>
  <si>
    <t>Reino Unido</t>
  </si>
  <si>
    <t>AGROINDUSTRIAS LS S.A. - AGRILLSA.</t>
  </si>
  <si>
    <t>Argentina</t>
  </si>
  <si>
    <t>COMPAñIA DESTILADORA DEL PERU S.R.L.</t>
  </si>
  <si>
    <t>Alemania</t>
  </si>
  <si>
    <t>PURO PERU S.A.C.</t>
  </si>
  <si>
    <t>Francia</t>
  </si>
  <si>
    <t>VIÑA OCUCAJE S A</t>
  </si>
  <si>
    <t>Japón</t>
  </si>
  <si>
    <t>BODEGAS VIñAS DE ORO S.A.</t>
  </si>
  <si>
    <t>Colombia</t>
  </si>
  <si>
    <t>SANTIAGO QUEIROLO S.A.C.</t>
  </si>
  <si>
    <t>España</t>
  </si>
  <si>
    <t>VINA TACAMA S.A</t>
  </si>
  <si>
    <t>Chile</t>
  </si>
  <si>
    <t>BODEGA SAN ISIDRO SOCIEDAD ANONIM...</t>
  </si>
  <si>
    <t>Estados Unidos</t>
  </si>
  <si>
    <t>DESTILERIA LA CARAVEDO S.A.C</t>
  </si>
  <si>
    <t>(miles US$)</t>
  </si>
  <si>
    <t>FOB-11</t>
  </si>
  <si>
    <t>%Part.</t>
  </si>
  <si>
    <t>%Var</t>
  </si>
  <si>
    <t>Mercado</t>
  </si>
  <si>
    <t>Empresa</t>
  </si>
  <si>
    <t>PRINCIPALES MERCADOS</t>
  </si>
  <si>
    <t>PRINCIPALES EMPRESAS EXPORTADORAS DE PISC0</t>
  </si>
  <si>
    <t>http://www.siicex.gob.pe/siicex/portal5ES.asp?_page_=172.17100&amp;_portletid_=sfichaproductoinit&amp;scriptdo=cc_fp_init&amp;pproducto=166&amp;pnomproducto=Pisco</t>
  </si>
  <si>
    <t>TAX - USA</t>
  </si>
  <si>
    <t>http://www.irs.gov/pub/irs-pdf/i1120.pdf</t>
  </si>
  <si>
    <t>Customixed Geometric risk premium estimator</t>
  </si>
  <si>
    <t>What is your riskfree rate?</t>
  </si>
  <si>
    <t>LT</t>
  </si>
  <si>
    <t>Estimates of risk premiums from 1928, over the last 40 years and over the last 10 years</t>
  </si>
  <si>
    <t>Enter your starting year</t>
  </si>
  <si>
    <t>are provided at the bottom of this table.</t>
  </si>
  <si>
    <t>Value of stocks in starting year:</t>
  </si>
  <si>
    <t>Value of T.Bills in starting year:</t>
  </si>
  <si>
    <t>Value of T.bonds in starting year:</t>
  </si>
  <si>
    <t>Estimate of risk premium based on your inputs:</t>
  </si>
  <si>
    <t>Annual Returns on Investments in</t>
  </si>
  <si>
    <t>Compounded Value of $ 100</t>
  </si>
  <si>
    <t>Year</t>
  </si>
  <si>
    <t xml:space="preserve">Stocks S&amp;P 500 </t>
  </si>
  <si>
    <t>T.Bills</t>
  </si>
  <si>
    <t>T.Bonds</t>
  </si>
  <si>
    <t>Stocks</t>
  </si>
  <si>
    <t>Stocks - Bills</t>
  </si>
  <si>
    <t>Stocks - Bonds</t>
  </si>
  <si>
    <t>Historical risk premium</t>
  </si>
  <si>
    <t>Prom Ult 20 Años</t>
  </si>
  <si>
    <t>Arithmetic Average</t>
  </si>
  <si>
    <t>Risk Premium</t>
  </si>
  <si>
    <t>Standard Error</t>
  </si>
  <si>
    <t>1928-2011</t>
  </si>
  <si>
    <t>Stocks - T.Bills</t>
  </si>
  <si>
    <t>Stocks - T.Bonds</t>
  </si>
  <si>
    <t>1962-2011</t>
  </si>
  <si>
    <t>2002-2011</t>
  </si>
  <si>
    <t>Geometric Average</t>
  </si>
  <si>
    <t xml:space="preserve">Vina Concha y Toro S.A. (VCO)-NYSE </t>
  </si>
  <si>
    <t xml:space="preserve">Constellation Brands Inc. (STZ)-NYSE </t>
  </si>
  <si>
    <t>Beta</t>
  </si>
  <si>
    <t>Periodo finalizado</t>
  </si>
  <si>
    <t>Activos</t>
  </si>
  <si>
    <t>Activo actual</t>
  </si>
  <si>
    <t>Caja y equivalentes de caja</t>
  </si>
  <si>
    <t>40.149  </t>
  </si>
  <si>
    <t>35.811  </t>
  </si>
  <si>
    <t>85.800  </t>
  </si>
  <si>
    <t>9.200  </t>
  </si>
  <si>
    <t>43.500  </t>
  </si>
  <si>
    <t>Inversiones a corto plazo</t>
  </si>
  <si>
    <t>16.049  </t>
  </si>
  <si>
    <t>22.912  </t>
  </si>
  <si>
    <t>21.494  </t>
  </si>
  <si>
    <t>-  </t>
  </si>
  <si>
    <t>Cuentas por cobrar, neto</t>
  </si>
  <si>
    <t>284.735  </t>
  </si>
  <si>
    <t>253.678  </t>
  </si>
  <si>
    <t>228.406 </t>
  </si>
  <si>
    <t>437.600  </t>
  </si>
  <si>
    <t>417.400  </t>
  </si>
  <si>
    <t>514.700  </t>
  </si>
  <si>
    <t>Inventario</t>
  </si>
  <si>
    <t>334.919  </t>
  </si>
  <si>
    <t>230.531  </t>
  </si>
  <si>
    <t>233.015  </t>
  </si>
  <si>
    <t>1.374.500  </t>
  </si>
  <si>
    <t>1.369.300  </t>
  </si>
  <si>
    <t>1.879.900  </t>
  </si>
  <si>
    <t>Otro activo circulante</t>
  </si>
  <si>
    <t>41.220  </t>
  </si>
  <si>
    <t>44.356  </t>
  </si>
  <si>
    <t>136.400  </t>
  </si>
  <si>
    <t>287.100  </t>
  </si>
  <si>
    <t>151.000  </t>
  </si>
  <si>
    <t xml:space="preserve">Activo circulante total </t>
  </si>
  <si>
    <t xml:space="preserve">717.073   </t>
  </si>
  <si>
    <t xml:space="preserve">587.287   </t>
  </si>
  <si>
    <t xml:space="preserve">524.453   </t>
  </si>
  <si>
    <t xml:space="preserve">2.034.300   </t>
  </si>
  <si>
    <t xml:space="preserve">2.083.000   </t>
  </si>
  <si>
    <t xml:space="preserve">2.589.100   </t>
  </si>
  <si>
    <t>Inversiones a largo plazo</t>
  </si>
  <si>
    <t>25.430  </t>
  </si>
  <si>
    <t>20.574  </t>
  </si>
  <si>
    <t>26.752  </t>
  </si>
  <si>
    <t>Maquinaria y equipos en propiedad</t>
  </si>
  <si>
    <t>499.884  </t>
  </si>
  <si>
    <t>480.971  </t>
  </si>
  <si>
    <t>452.380  </t>
  </si>
  <si>
    <t>1.255.800  </t>
  </si>
  <si>
    <t>1.219.600  </t>
  </si>
  <si>
    <t>1.567.200  </t>
  </si>
  <si>
    <t>Fondo de comercio</t>
  </si>
  <si>
    <t>43.464  </t>
  </si>
  <si>
    <t>2.632.900  </t>
  </si>
  <si>
    <t>2.619.800  </t>
  </si>
  <si>
    <t>2.570.600  </t>
  </si>
  <si>
    <t>Activos intangibles</t>
  </si>
  <si>
    <t>57.539  </t>
  </si>
  <si>
    <t>18.941  </t>
  </si>
  <si>
    <t>16.520  </t>
  </si>
  <si>
    <t>866.400  </t>
  </si>
  <si>
    <t>886.300  </t>
  </si>
  <si>
    <t>925.000  </t>
  </si>
  <si>
    <t>Amortización acumulada</t>
  </si>
  <si>
    <t>-</t>
  </si>
  <si>
    <t>Otro activo</t>
  </si>
  <si>
    <t>135.410  </t>
  </si>
  <si>
    <t>132.238  </t>
  </si>
  <si>
    <t>109.037  </t>
  </si>
  <si>
    <t>320.500  </t>
  </si>
  <si>
    <t>358.900  </t>
  </si>
  <si>
    <t>442.400  </t>
  </si>
  <si>
    <t>Cargos diferidos de activo a largo plazo</t>
  </si>
  <si>
    <t>11.488  </t>
  </si>
  <si>
    <t>11.317  </t>
  </si>
  <si>
    <t>7.917  </t>
  </si>
  <si>
    <t xml:space="preserve">Total de activos </t>
  </si>
  <si>
    <t xml:space="preserve">1.490.288   </t>
  </si>
  <si>
    <t xml:space="preserve">1.251.328   </t>
  </si>
  <si>
    <t>1.137.060 </t>
  </si>
  <si>
    <t xml:space="preserve">7.109.900   </t>
  </si>
  <si>
    <t xml:space="preserve">7.167.600   </t>
  </si>
  <si>
    <t xml:space="preserve">8.094.300   </t>
  </si>
  <si>
    <t>Pasivo</t>
  </si>
  <si>
    <t>Pasivo actual</t>
  </si>
  <si>
    <t>Cuentas pagables</t>
  </si>
  <si>
    <t>169.245  </t>
  </si>
  <si>
    <t>161.660  </t>
  </si>
  <si>
    <t>152.688  </t>
  </si>
  <si>
    <t>491.500  </t>
  </si>
  <si>
    <t>563.300  </t>
  </si>
  <si>
    <t>814.200  </t>
  </si>
  <si>
    <t>Deudas a largo plazo circulante / corto plazo</t>
  </si>
  <si>
    <t>708.100  </t>
  </si>
  <si>
    <t>99.600  </t>
  </si>
  <si>
    <t>558.400  </t>
  </si>
  <si>
    <t>Otro pasivo circulante</t>
  </si>
  <si>
    <t>153.900  </t>
  </si>
  <si>
    <t>123.762  </t>
  </si>
  <si>
    <t xml:space="preserve">Pasivo circulante total </t>
  </si>
  <si>
    <t xml:space="preserve">323.146   </t>
  </si>
  <si>
    <t xml:space="preserve">285.421   </t>
  </si>
  <si>
    <t xml:space="preserve">277.070   </t>
  </si>
  <si>
    <t xml:space="preserve">1.199.600   </t>
  </si>
  <si>
    <t xml:space="preserve">662.900   </t>
  </si>
  <si>
    <t xml:space="preserve">1.372.600   </t>
  </si>
  <si>
    <t>Deuda a largo plazo</t>
  </si>
  <si>
    <t>4.567  </t>
  </si>
  <si>
    <t>4.360  </t>
  </si>
  <si>
    <t>2.421.400  </t>
  </si>
  <si>
    <t>3.136.700  </t>
  </si>
  <si>
    <t>3.277.100  </t>
  </si>
  <si>
    <t>Otro pasivo</t>
  </si>
  <si>
    <t>348.441  </t>
  </si>
  <si>
    <t>113.802  </t>
  </si>
  <si>
    <t>130.198  </t>
  </si>
  <si>
    <t>204.200  </t>
  </si>
  <si>
    <t>233.000  </t>
  </si>
  <si>
    <t>332.100 </t>
  </si>
  <si>
    <t>Cargos diferidos de pasivo a largo plazo</t>
  </si>
  <si>
    <t>51.537  </t>
  </si>
  <si>
    <t>55.412  </t>
  </si>
  <si>
    <t>49.291  </t>
  </si>
  <si>
    <t>608.700  </t>
  </si>
  <si>
    <t>583.100  </t>
  </si>
  <si>
    <t>536.200  </t>
  </si>
  <si>
    <t>Interés minoritario</t>
  </si>
  <si>
    <t>563  </t>
  </si>
  <si>
    <t>Fondo de comercio negativo</t>
  </si>
  <si>
    <t xml:space="preserve">Pasivo total </t>
  </si>
  <si>
    <t xml:space="preserve">723.686   </t>
  </si>
  <si>
    <t xml:space="preserve">459.202   </t>
  </si>
  <si>
    <t xml:space="preserve">4.433.900   </t>
  </si>
  <si>
    <t xml:space="preserve">4.615.700   </t>
  </si>
  <si>
    <t xml:space="preserve">5.518.000   </t>
  </si>
  <si>
    <t>Capital social</t>
  </si>
  <si>
    <t>Garantías de opciones de acción</t>
  </si>
  <si>
    <t>Acción preferente redimible</t>
  </si>
  <si>
    <t>Acciones preferentes</t>
  </si>
  <si>
    <t>Acciones ordinarias</t>
  </si>
  <si>
    <t>162.054  </t>
  </si>
  <si>
    <t>179.888  </t>
  </si>
  <si>
    <t>143.543  </t>
  </si>
  <si>
    <t>2.600  </t>
  </si>
  <si>
    <t>2.600 </t>
  </si>
  <si>
    <t>Beneficios retenidos</t>
  </si>
  <si>
    <t>597.179  </t>
  </si>
  <si>
    <t>596.226  </t>
  </si>
  <si>
    <t>500.885  </t>
  </si>
  <si>
    <t>2.107.300  </t>
  </si>
  <si>
    <t>1.662.300  </t>
  </si>
  <si>
    <t>1.102.800 </t>
  </si>
  <si>
    <t>Acciones compradas por la empresa</t>
  </si>
  <si>
    <t>(1.299.000)</t>
  </si>
  <si>
    <t>Excedente de capital</t>
  </si>
  <si>
    <t>1.691.400  </t>
  </si>
  <si>
    <t>1.602.400  </t>
  </si>
  <si>
    <t>1.493.200</t>
  </si>
  <si>
    <t>Otro capital social</t>
  </si>
  <si>
    <t>7.369  </t>
  </si>
  <si>
    <t>16.011  </t>
  </si>
  <si>
    <t>31.712 </t>
  </si>
  <si>
    <t>173.700  </t>
  </si>
  <si>
    <t>188.800  </t>
  </si>
  <si>
    <t>587.200  </t>
  </si>
  <si>
    <t xml:space="preserve">Total de capital social </t>
  </si>
  <si>
    <t xml:space="preserve">766.602   </t>
  </si>
  <si>
    <t xml:space="preserve">792.126   </t>
  </si>
  <si>
    <t xml:space="preserve">2.676.000   </t>
  </si>
  <si>
    <t xml:space="preserve">2.551.900   </t>
  </si>
  <si>
    <t xml:space="preserve">2.576.300   </t>
  </si>
  <si>
    <t xml:space="preserve">Activos tangibles netos </t>
  </si>
  <si>
    <t xml:space="preserve">665.599   </t>
  </si>
  <si>
    <t xml:space="preserve">773.185   </t>
  </si>
  <si>
    <t xml:space="preserve">659.620   </t>
  </si>
  <si>
    <t>Divisa en USD.</t>
  </si>
  <si>
    <t>PROMEDIO RIESGO PAÍS - 60 MESES</t>
  </si>
  <si>
    <t>Fuente: Banco Central de Reserva del Perú</t>
  </si>
  <si>
    <t>Mes/Año </t>
  </si>
  <si>
    <t>Spread - EMBIG Perú (pbs) </t>
  </si>
  <si>
    <t>Ene07</t>
  </si>
  <si>
    <t>Feb07</t>
  </si>
  <si>
    <t>Mar07</t>
  </si>
  <si>
    <t>Abr07</t>
  </si>
  <si>
    <t>May07</t>
  </si>
  <si>
    <t>Jun07</t>
  </si>
  <si>
    <t>Jul07</t>
  </si>
  <si>
    <t>Ago07</t>
  </si>
  <si>
    <t>Sep07</t>
  </si>
  <si>
    <t>Oct07</t>
  </si>
  <si>
    <t>Nov07</t>
  </si>
  <si>
    <t>Dic07</t>
  </si>
  <si>
    <t>Ene08</t>
  </si>
  <si>
    <t>Feb08</t>
  </si>
  <si>
    <t>Mar08</t>
  </si>
  <si>
    <t>Abr08</t>
  </si>
  <si>
    <t>May08</t>
  </si>
  <si>
    <t>Jun08</t>
  </si>
  <si>
    <t>Jul08</t>
  </si>
  <si>
    <t>Ago08</t>
  </si>
  <si>
    <t>Sep08</t>
  </si>
  <si>
    <t>Oct08</t>
  </si>
  <si>
    <t>Nov08</t>
  </si>
  <si>
    <t>Dic08</t>
  </si>
  <si>
    <t>Ene09</t>
  </si>
  <si>
    <t>Feb09</t>
  </si>
  <si>
    <t>Mar09</t>
  </si>
  <si>
    <t>Abr09</t>
  </si>
  <si>
    <t>May09</t>
  </si>
  <si>
    <t>Jun09</t>
  </si>
  <si>
    <t>Jul09</t>
  </si>
  <si>
    <t>Ago09</t>
  </si>
  <si>
    <t>Sep09</t>
  </si>
  <si>
    <t>Oct09</t>
  </si>
  <si>
    <t>Nov09</t>
  </si>
  <si>
    <t>Dic09</t>
  </si>
  <si>
    <t>Ene10</t>
  </si>
  <si>
    <t>Feb10</t>
  </si>
  <si>
    <t>Mar10</t>
  </si>
  <si>
    <t>Abr10</t>
  </si>
  <si>
    <t>May10</t>
  </si>
  <si>
    <t>Jun10</t>
  </si>
  <si>
    <t>Jul10</t>
  </si>
  <si>
    <t>Ago10</t>
  </si>
  <si>
    <t>Sep10</t>
  </si>
  <si>
    <t>Oct10</t>
  </si>
  <si>
    <t>Nov10</t>
  </si>
  <si>
    <t>Dic10</t>
  </si>
  <si>
    <t>Ene11</t>
  </si>
  <si>
    <t>Feb11</t>
  </si>
  <si>
    <t>Mar11</t>
  </si>
  <si>
    <t>Abr11</t>
  </si>
  <si>
    <t>May11</t>
  </si>
  <si>
    <t>Jun11</t>
  </si>
  <si>
    <t>Jul11</t>
  </si>
  <si>
    <t>Ago11</t>
  </si>
  <si>
    <t>Sep11</t>
  </si>
  <si>
    <t>Oct11</t>
  </si>
  <si>
    <t>Nov11</t>
  </si>
  <si>
    <t>Dic11</t>
  </si>
  <si>
    <t>Ene12</t>
  </si>
  <si>
    <t>Feb12</t>
  </si>
  <si>
    <t>Mar12</t>
  </si>
  <si>
    <t>Abr12</t>
  </si>
  <si>
    <t>May12</t>
  </si>
  <si>
    <t>Jun12</t>
  </si>
  <si>
    <t>Jul12</t>
  </si>
  <si>
    <t>Ago12</t>
  </si>
  <si>
    <t>Sep12</t>
  </si>
  <si>
    <t>Oct2</t>
  </si>
  <si>
    <t>Riesgo País (pbs)</t>
  </si>
  <si>
    <t>Promedio</t>
  </si>
  <si>
    <t>Fuente</t>
  </si>
  <si>
    <t>www.bcrp.gob.pe/docs/Estadisticas/Cuadros-Estadisticos/NC_037.xls</t>
  </si>
  <si>
    <t>ANEXO 2</t>
  </si>
  <si>
    <t>ANEXO 3</t>
  </si>
  <si>
    <t>ANEXO 4</t>
  </si>
  <si>
    <t>ANEXO 5</t>
  </si>
  <si>
    <t>ANEXO 6</t>
  </si>
  <si>
    <t>ANEXO 7</t>
  </si>
  <si>
    <t>ANEXO 8</t>
  </si>
  <si>
    <t>ANEXO 9</t>
  </si>
  <si>
    <t>ANEXO 10</t>
  </si>
  <si>
    <t>1. Empresas similares en el mercado</t>
  </si>
  <si>
    <t xml:space="preserve">Vina Concha y Toro S.A. </t>
  </si>
  <si>
    <t>Constellation Brands Inc.</t>
  </si>
  <si>
    <t xml:space="preserve">Deudas a largo plazo circulante / corto plazo </t>
  </si>
  <si>
    <t>Total Deuda (D)</t>
  </si>
  <si>
    <t>Total de capital social  ( C)</t>
  </si>
  <si>
    <t>Beta apalancada</t>
  </si>
  <si>
    <t>Tax (t)</t>
  </si>
  <si>
    <t>2. Desampalacar los betas</t>
  </si>
  <si>
    <r>
      <t>β</t>
    </r>
    <r>
      <rPr>
        <vertAlign val="subscript"/>
        <sz val="11"/>
        <color theme="1"/>
        <rFont val="Calibri"/>
        <family val="2"/>
      </rPr>
      <t>A</t>
    </r>
    <r>
      <rPr>
        <sz val="11"/>
        <color theme="1"/>
        <rFont val="Calibri"/>
        <family val="2"/>
      </rPr>
      <t>=β</t>
    </r>
    <r>
      <rPr>
        <vertAlign val="subscript"/>
        <sz val="11"/>
        <color theme="1"/>
        <rFont val="Calibri"/>
        <family val="2"/>
      </rPr>
      <t>C</t>
    </r>
    <r>
      <rPr>
        <sz val="11"/>
        <color theme="1"/>
        <rFont val="Calibri"/>
        <family val="2"/>
      </rPr>
      <t xml:space="preserve"> /(1+(1-t)D/C)</t>
    </r>
  </si>
  <si>
    <t>Βc= Beta apalancado</t>
  </si>
  <si>
    <t>t=impuesto</t>
  </si>
  <si>
    <t>D/C=Relación Deuda/Capital</t>
  </si>
  <si>
    <t>Beta Desapalancado  (βA)</t>
  </si>
  <si>
    <t>Beta Promedio</t>
  </si>
  <si>
    <r>
      <t>β</t>
    </r>
    <r>
      <rPr>
        <b/>
        <vertAlign val="subscript"/>
        <sz val="14"/>
        <color theme="1"/>
        <rFont val="Calibri"/>
        <family val="2"/>
        <scheme val="minor"/>
      </rPr>
      <t>promedio</t>
    </r>
    <r>
      <rPr>
        <b/>
        <sz val="14"/>
        <color theme="1"/>
        <rFont val="Calibri"/>
        <family val="2"/>
        <scheme val="minor"/>
      </rPr>
      <t>=</t>
    </r>
  </si>
  <si>
    <t>Costo de Capital:</t>
  </si>
  <si>
    <r>
      <t>r</t>
    </r>
    <r>
      <rPr>
        <vertAlign val="subscript"/>
        <sz val="14"/>
        <color theme="1"/>
        <rFont val="Calibri"/>
        <family val="2"/>
        <scheme val="minor"/>
      </rPr>
      <t>f</t>
    </r>
  </si>
  <si>
    <t>(Fuente:Damodaran -  Promedio del año 1997 al 2011 (20años)</t>
  </si>
  <si>
    <r>
      <t>r</t>
    </r>
    <r>
      <rPr>
        <vertAlign val="subscript"/>
        <sz val="14"/>
        <color theme="1"/>
        <rFont val="Calibri"/>
        <family val="2"/>
        <scheme val="minor"/>
      </rPr>
      <t>m</t>
    </r>
  </si>
  <si>
    <t>β</t>
  </si>
  <si>
    <t>Riesgo Pais</t>
  </si>
  <si>
    <t>Fuente: BCRP:</t>
  </si>
  <si>
    <t xml:space="preserve"> www.bcrp.gob.pe/docs/Estadisticas/Cuadros-Estadisticos/NC_037.xls</t>
  </si>
  <si>
    <t>Inflacion Esperada USA</t>
  </si>
  <si>
    <t>http://es.global-rates.com/estadisticas-economicas/inflacion/inflacion.aspx</t>
  </si>
  <si>
    <t>Infalcion Esperada Perú</t>
  </si>
  <si>
    <t>http://elcomercio.pe/economia/1392935/noticia-peru-tendra-inflacion-mas-baja-region-2012-2013-estiman</t>
  </si>
  <si>
    <t>Tasa Impuesto Renta Peru</t>
  </si>
  <si>
    <r>
      <t>r</t>
    </r>
    <r>
      <rPr>
        <vertAlign val="subscript"/>
        <sz val="14"/>
        <color theme="1"/>
        <rFont val="Calibri"/>
        <family val="2"/>
        <scheme val="minor"/>
      </rPr>
      <t>e</t>
    </r>
  </si>
  <si>
    <t>rR (Efecto Inflacion USA)</t>
  </si>
  <si>
    <t>Ajustado por riesgo pais</t>
  </si>
  <si>
    <t>Ajustado con inflacion esperada de Peru</t>
  </si>
  <si>
    <t>Costo de deuda</t>
  </si>
  <si>
    <t>Patrimonio Neto  - Cosmos S.A</t>
  </si>
  <si>
    <t>Total Deuda - Cosmos S.A</t>
  </si>
  <si>
    <t>WACC</t>
  </si>
  <si>
    <t>ANEXO 11</t>
  </si>
  <si>
    <t xml:space="preserve">CALCULO WACC </t>
  </si>
  <si>
    <t>Balance General de las Empresas consideradas para el calculo del β del proyecto</t>
  </si>
</sst>
</file>

<file path=xl/styles.xml><?xml version="1.0" encoding="utf-8"?>
<styleSheet xmlns="http://schemas.openxmlformats.org/spreadsheetml/2006/main">
  <numFmts count="10">
    <numFmt numFmtId="43" formatCode="_ * #,##0.00_ ;_ * \-#,##0.00_ ;_ * &quot;-&quot;??_ ;_ @_ "/>
    <numFmt numFmtId="164" formatCode="0.0%"/>
    <numFmt numFmtId="165" formatCode="&quot;S/.&quot;#,##0.00"/>
    <numFmt numFmtId="166" formatCode="&quot;S/.&quot;\ #,##0.00"/>
    <numFmt numFmtId="167" formatCode="#,##0;[Red]#,##0"/>
    <numFmt numFmtId="168" formatCode="_(&quot;$&quot;* #,##0.00_);_(&quot;$&quot;* \(#,##0.00\);_(&quot;$&quot;* &quot;-&quot;??_);_(@_)"/>
    <numFmt numFmtId="169" formatCode="[$$-540A]#,##0.00"/>
    <numFmt numFmtId="170" formatCode="0.00000"/>
    <numFmt numFmtId="171" formatCode="0.0000"/>
    <numFmt numFmtId="172" formatCode="0.000%"/>
  </numFmts>
  <fonts count="8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u val="singleAccounting"/>
      <sz val="8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8"/>
      <name val="Arial"/>
      <family val="2"/>
    </font>
    <font>
      <sz val="10"/>
      <name val="Geneva"/>
    </font>
    <font>
      <sz val="10"/>
      <color indexed="8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9"/>
      <name val="Geneva"/>
      <family val="2"/>
    </font>
    <font>
      <b/>
      <sz val="11"/>
      <color indexed="63"/>
      <name val="Calibri"/>
      <family val="2"/>
    </font>
    <font>
      <sz val="10"/>
      <name val="Geneva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i/>
      <sz val="11"/>
      <color theme="0"/>
      <name val="Calibri"/>
      <family val="2"/>
      <scheme val="minor"/>
    </font>
    <font>
      <i/>
      <sz val="9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u/>
      <sz val="16"/>
      <color theme="1"/>
      <name val="Calibri"/>
      <family val="2"/>
      <scheme val="minor"/>
    </font>
    <font>
      <sz val="12"/>
      <color rgb="FF000000"/>
      <name val="Times New Roman"/>
      <family val="1"/>
    </font>
    <font>
      <sz val="7"/>
      <color theme="1"/>
      <name val="Calibri"/>
      <family val="2"/>
      <scheme val="minor"/>
    </font>
    <font>
      <sz val="8"/>
      <color rgb="FF666666"/>
      <name val="Arial"/>
      <family val="2"/>
    </font>
    <font>
      <u/>
      <sz val="11"/>
      <color theme="10"/>
      <name val="Calibri"/>
      <family val="2"/>
    </font>
    <font>
      <sz val="11"/>
      <color rgb="FFFFFFFF"/>
      <name val="Arial"/>
      <family val="2"/>
    </font>
    <font>
      <b/>
      <sz val="8"/>
      <color rgb="FF666666"/>
      <name val="Arial"/>
      <family val="2"/>
    </font>
    <font>
      <sz val="14"/>
      <color indexed="10"/>
      <name val="Times"/>
    </font>
    <font>
      <sz val="14"/>
      <color indexed="10"/>
      <name val="Geneva"/>
    </font>
    <font>
      <sz val="12"/>
      <name val="Times"/>
    </font>
    <font>
      <b/>
      <sz val="12"/>
      <name val="Times"/>
    </font>
    <font>
      <i/>
      <sz val="12"/>
      <name val="Times"/>
    </font>
    <font>
      <b/>
      <sz val="14"/>
      <name val="Times"/>
    </font>
    <font>
      <b/>
      <i/>
      <sz val="12"/>
      <name val="Times"/>
    </font>
    <font>
      <b/>
      <sz val="9"/>
      <color indexed="81"/>
      <name val="Geneva"/>
    </font>
    <font>
      <sz val="9"/>
      <color indexed="81"/>
      <name val="Geneva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.65"/>
      <color theme="1"/>
      <name val="Arial"/>
      <family val="2"/>
    </font>
    <font>
      <b/>
      <sz val="13"/>
      <color theme="1"/>
      <name val="Arial"/>
      <family val="2"/>
    </font>
    <font>
      <sz val="8.65"/>
      <color theme="1"/>
      <name val="Arial"/>
      <family val="2"/>
    </font>
    <font>
      <b/>
      <sz val="8.65"/>
      <color theme="1"/>
      <name val="Arial"/>
      <family val="2"/>
    </font>
    <font>
      <b/>
      <u/>
      <sz val="12"/>
      <color indexed="62"/>
      <name val="Calibri"/>
      <family val="2"/>
    </font>
    <font>
      <sz val="10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9"/>
      <color indexed="18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0"/>
      <color indexed="62"/>
      <name val="Calibri"/>
      <family val="2"/>
    </font>
    <font>
      <b/>
      <sz val="10"/>
      <color rgb="FFFF0000"/>
      <name val="Calibri"/>
      <family val="2"/>
    </font>
    <font>
      <sz val="14"/>
      <name val="Verdana"/>
      <family val="2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</font>
    <font>
      <vertAlign val="subscript"/>
      <sz val="11"/>
      <color theme="1"/>
      <name val="Calibri"/>
      <family val="2"/>
    </font>
    <font>
      <b/>
      <vertAlign val="subscript"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vertAlign val="subscript"/>
      <sz val="14"/>
      <color theme="1"/>
      <name val="Calibri"/>
      <family val="2"/>
      <scheme val="minor"/>
    </font>
    <font>
      <sz val="14"/>
      <color theme="1"/>
      <name val="Calibri"/>
      <family val="2"/>
    </font>
  </fonts>
  <fills count="3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0"/>
        <bgColor indexed="64"/>
      </patternFill>
    </fill>
    <fill>
      <patternFill patternType="solid">
        <fgColor indexed="26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1F1F1"/>
        <bgColor indexed="64"/>
      </patternFill>
    </fill>
    <fill>
      <patternFill patternType="solid">
        <fgColor rgb="FFDA251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FF"/>
        <bgColor indexed="64"/>
      </patternFill>
    </fill>
  </fills>
  <borders count="47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rgb="FFFFFFFF"/>
      </top>
      <bottom/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/>
      <top/>
      <bottom/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rgb="FFFFFFFF"/>
      </left>
      <right/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/>
      <top/>
      <bottom style="medium">
        <color rgb="FFFFFFFF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/>
      <bottom/>
      <diagonal/>
    </border>
    <border>
      <left style="medium">
        <color rgb="FFFFFFFF"/>
      </left>
      <right/>
      <top style="thick">
        <color rgb="FF333333"/>
      </top>
      <bottom/>
      <diagonal/>
    </border>
    <border>
      <left/>
      <right/>
      <top style="thick">
        <color rgb="FF333333"/>
      </top>
      <bottom/>
      <diagonal/>
    </border>
    <border>
      <left/>
      <right style="medium">
        <color rgb="FFFFFFFF"/>
      </right>
      <top style="thick">
        <color rgb="FF333333"/>
      </top>
      <bottom/>
      <diagonal/>
    </border>
    <border>
      <left style="medium">
        <color rgb="FFFFFFFF"/>
      </left>
      <right/>
      <top/>
      <bottom style="medium">
        <color rgb="FFFFFFFF"/>
      </bottom>
      <diagonal/>
    </border>
    <border>
      <left style="medium">
        <color rgb="FFFFFFFF"/>
      </left>
      <right/>
      <top/>
      <bottom style="thick">
        <color rgb="FF333333"/>
      </bottom>
      <diagonal/>
    </border>
    <border>
      <left/>
      <right/>
      <top/>
      <bottom style="thick">
        <color rgb="FF333333"/>
      </bottom>
      <diagonal/>
    </border>
    <border>
      <left/>
      <right style="medium">
        <color rgb="FFFFFFFF"/>
      </right>
      <top/>
      <bottom style="thick">
        <color rgb="FF33333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73">
    <xf numFmtId="0" fontId="0" fillId="0" borderId="0"/>
    <xf numFmtId="9" fontId="1" fillId="0" borderId="0" applyFont="0" applyFill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2" borderId="0" applyNumberFormat="0" applyBorder="0" applyAlignment="0" applyProtection="0"/>
    <xf numFmtId="0" fontId="15" fillId="6" borderId="0" applyNumberFormat="0" applyBorder="0" applyAlignment="0" applyProtection="0"/>
    <xf numFmtId="0" fontId="16" fillId="23" borderId="5" applyNumberFormat="0" applyAlignment="0" applyProtection="0"/>
    <xf numFmtId="0" fontId="17" fillId="24" borderId="6" applyNumberFormat="0" applyAlignment="0" applyProtection="0"/>
    <xf numFmtId="0" fontId="18" fillId="25" borderId="0" applyAlignment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</xf>
    <xf numFmtId="0" fontId="26" fillId="10" borderId="5" applyNumberFormat="0" applyAlignment="0" applyProtection="0"/>
    <xf numFmtId="0" fontId="27" fillId="0" borderId="10" applyNumberFormat="0" applyFill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7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30" fillId="0" borderId="0">
      <alignment vertical="top"/>
    </xf>
    <xf numFmtId="0" fontId="31" fillId="0" borderId="0"/>
    <xf numFmtId="0" fontId="31" fillId="0" borderId="0"/>
    <xf numFmtId="0" fontId="29" fillId="0" borderId="0"/>
    <xf numFmtId="0" fontId="31" fillId="0" borderId="0"/>
    <xf numFmtId="0" fontId="13" fillId="0" borderId="0"/>
    <xf numFmtId="0" fontId="29" fillId="0" borderId="0"/>
    <xf numFmtId="0" fontId="31" fillId="0" borderId="0"/>
    <xf numFmtId="0" fontId="30" fillId="0" borderId="0">
      <alignment vertical="top"/>
    </xf>
    <xf numFmtId="0" fontId="32" fillId="0" borderId="0"/>
    <xf numFmtId="0" fontId="32" fillId="0" borderId="0"/>
    <xf numFmtId="0" fontId="33" fillId="0" borderId="0"/>
    <xf numFmtId="0" fontId="31" fillId="0" borderId="0"/>
    <xf numFmtId="0" fontId="29" fillId="0" borderId="0"/>
    <xf numFmtId="0" fontId="13" fillId="26" borderId="11" applyNumberFormat="0" applyFont="0" applyAlignment="0" applyProtection="0"/>
    <xf numFmtId="0" fontId="34" fillId="23" borderId="12" applyNumberFormat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0" fillId="0" borderId="0" applyFont="0" applyFill="0" applyBorder="0" applyAlignment="0" applyProtection="0">
      <alignment vertical="top"/>
    </xf>
    <xf numFmtId="9" fontId="3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0" fillId="0" borderId="0" applyFont="0" applyFill="0" applyBorder="0" applyAlignment="0" applyProtection="0">
      <alignment vertical="top"/>
    </xf>
    <xf numFmtId="0" fontId="36" fillId="0" borderId="0" applyAlignment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51" fillId="0" borderId="0" applyNumberFormat="0" applyFill="0" applyBorder="0" applyAlignment="0" applyProtection="0">
      <alignment vertical="top"/>
      <protection locked="0"/>
    </xf>
  </cellStyleXfs>
  <cellXfs count="274">
    <xf numFmtId="0" fontId="0" fillId="0" borderId="0" xfId="0"/>
    <xf numFmtId="0" fontId="4" fillId="0" borderId="0" xfId="0" applyFont="1"/>
    <xf numFmtId="0" fontId="5" fillId="0" borderId="0" xfId="0" applyFont="1" applyAlignment="1">
      <alignment horizontal="right"/>
    </xf>
    <xf numFmtId="0" fontId="6" fillId="0" borderId="0" xfId="0" applyFont="1"/>
    <xf numFmtId="0" fontId="0" fillId="0" borderId="0" xfId="0" applyAlignment="1">
      <alignment horizontal="right"/>
    </xf>
    <xf numFmtId="0" fontId="7" fillId="0" borderId="0" xfId="0" applyFont="1"/>
    <xf numFmtId="10" fontId="7" fillId="0" borderId="0" xfId="1" applyNumberFormat="1" applyFont="1" applyBorder="1" applyAlignment="1">
      <alignment horizontal="center"/>
    </xf>
    <xf numFmtId="0" fontId="0" fillId="0" borderId="1" xfId="0" applyBorder="1"/>
    <xf numFmtId="0" fontId="7" fillId="0" borderId="2" xfId="0" applyFont="1" applyBorder="1" applyAlignment="1">
      <alignment horizontal="center"/>
    </xf>
    <xf numFmtId="0" fontId="0" fillId="0" borderId="2" xfId="0" applyBorder="1"/>
    <xf numFmtId="1" fontId="0" fillId="0" borderId="2" xfId="1" applyNumberFormat="1" applyFont="1" applyBorder="1" applyAlignment="1">
      <alignment horizontal="center"/>
    </xf>
    <xf numFmtId="0" fontId="7" fillId="0" borderId="2" xfId="0" applyFont="1" applyBorder="1"/>
    <xf numFmtId="1" fontId="7" fillId="0" borderId="2" xfId="1" applyNumberFormat="1" applyFont="1" applyBorder="1" applyAlignment="1">
      <alignment horizontal="center"/>
    </xf>
    <xf numFmtId="0" fontId="8" fillId="0" borderId="0" xfId="0" applyFont="1"/>
    <xf numFmtId="0" fontId="9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3" fontId="0" fillId="2" borderId="2" xfId="1" applyNumberFormat="1" applyFont="1" applyFill="1" applyBorder="1" applyAlignment="1">
      <alignment horizontal="center"/>
    </xf>
    <xf numFmtId="3" fontId="0" fillId="0" borderId="2" xfId="1" applyNumberFormat="1" applyFont="1" applyBorder="1" applyAlignment="1">
      <alignment horizontal="center"/>
    </xf>
    <xf numFmtId="3" fontId="0" fillId="0" borderId="2" xfId="0" applyNumberFormat="1" applyBorder="1"/>
    <xf numFmtId="3" fontId="0" fillId="0" borderId="0" xfId="0" applyNumberFormat="1"/>
    <xf numFmtId="0" fontId="0" fillId="2" borderId="0" xfId="0" applyFill="1" applyAlignment="1">
      <alignment horizontal="right"/>
    </xf>
    <xf numFmtId="3" fontId="0" fillId="3" borderId="2" xfId="1" applyNumberFormat="1" applyFont="1" applyFill="1" applyBorder="1" applyAlignment="1">
      <alignment horizontal="center"/>
    </xf>
    <xf numFmtId="0" fontId="0" fillId="3" borderId="0" xfId="0" applyFill="1" applyAlignment="1">
      <alignment horizontal="right"/>
    </xf>
    <xf numFmtId="0" fontId="7" fillId="3" borderId="0" xfId="0" applyFont="1" applyFill="1"/>
    <xf numFmtId="3" fontId="7" fillId="3" borderId="0" xfId="1" applyNumberFormat="1" applyFont="1" applyFill="1" applyBorder="1" applyAlignment="1">
      <alignment horizontal="center"/>
    </xf>
    <xf numFmtId="3" fontId="7" fillId="3" borderId="0" xfId="1" applyNumberFormat="1" applyFont="1" applyFill="1" applyBorder="1" applyAlignment="1">
      <alignment horizontal="right"/>
    </xf>
    <xf numFmtId="0" fontId="0" fillId="3" borderId="0" xfId="0" applyFill="1"/>
    <xf numFmtId="9" fontId="9" fillId="0" borderId="0" xfId="0" applyNumberFormat="1" applyFont="1" applyAlignment="1">
      <alignment horizontal="center"/>
    </xf>
    <xf numFmtId="3" fontId="0" fillId="0" borderId="2" xfId="0" applyNumberFormat="1" applyBorder="1" applyAlignment="1">
      <alignment horizontal="center"/>
    </xf>
    <xf numFmtId="3" fontId="7" fillId="0" borderId="0" xfId="1" applyNumberFormat="1" applyFont="1" applyBorder="1" applyAlignment="1">
      <alignment horizontal="center"/>
    </xf>
    <xf numFmtId="3" fontId="7" fillId="0" borderId="0" xfId="1" applyNumberFormat="1" applyFont="1" applyBorder="1" applyAlignment="1">
      <alignment horizontal="right"/>
    </xf>
    <xf numFmtId="3" fontId="7" fillId="0" borderId="0" xfId="1" applyNumberFormat="1" applyFont="1" applyFill="1" applyBorder="1" applyAlignment="1">
      <alignment horizontal="center"/>
    </xf>
    <xf numFmtId="165" fontId="0" fillId="0" borderId="0" xfId="0" applyNumberFormat="1"/>
    <xf numFmtId="0" fontId="7" fillId="0" borderId="0" xfId="0" applyFont="1" applyAlignment="1">
      <alignment horizontal="center"/>
    </xf>
    <xf numFmtId="166" fontId="0" fillId="2" borderId="2" xfId="0" applyNumberFormat="1" applyFill="1" applyBorder="1"/>
    <xf numFmtId="166" fontId="0" fillId="0" borderId="2" xfId="0" applyNumberFormat="1" applyBorder="1"/>
    <xf numFmtId="166" fontId="0" fillId="3" borderId="2" xfId="0" applyNumberFormat="1" applyFill="1" applyBorder="1"/>
    <xf numFmtId="166" fontId="7" fillId="3" borderId="2" xfId="0" applyNumberFormat="1" applyFont="1" applyFill="1" applyBorder="1"/>
    <xf numFmtId="166" fontId="0" fillId="0" borderId="0" xfId="0" applyNumberFormat="1"/>
    <xf numFmtId="0" fontId="7" fillId="4" borderId="2" xfId="0" applyFont="1" applyFill="1" applyBorder="1" applyAlignment="1">
      <alignment horizontal="center"/>
    </xf>
    <xf numFmtId="9" fontId="0" fillId="0" borderId="0" xfId="0" applyNumberFormat="1"/>
    <xf numFmtId="0" fontId="10" fillId="0" borderId="0" xfId="0" applyFont="1" applyAlignment="1">
      <alignment horizontal="right"/>
    </xf>
    <xf numFmtId="0" fontId="11" fillId="0" borderId="0" xfId="0" applyFont="1" applyFill="1" applyBorder="1"/>
    <xf numFmtId="3" fontId="7" fillId="0" borderId="2" xfId="0" applyNumberFormat="1" applyFont="1" applyBorder="1" applyAlignment="1">
      <alignment horizontal="center"/>
    </xf>
    <xf numFmtId="0" fontId="0" fillId="0" borderId="0" xfId="0" applyBorder="1"/>
    <xf numFmtId="3" fontId="7" fillId="0" borderId="3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10" fontId="0" fillId="3" borderId="3" xfId="0" applyNumberFormat="1" applyFill="1" applyBorder="1"/>
    <xf numFmtId="0" fontId="7" fillId="0" borderId="0" xfId="0" applyFont="1" applyBorder="1"/>
    <xf numFmtId="166" fontId="0" fillId="2" borderId="2" xfId="0" applyNumberFormat="1" applyFill="1" applyBorder="1" applyAlignment="1">
      <alignment horizontal="right"/>
    </xf>
    <xf numFmtId="166" fontId="0" fillId="3" borderId="2" xfId="0" applyNumberFormat="1" applyFill="1" applyBorder="1" applyAlignment="1">
      <alignment horizontal="right"/>
    </xf>
    <xf numFmtId="0" fontId="7" fillId="4" borderId="2" xfId="0" applyFont="1" applyFill="1" applyBorder="1" applyAlignment="1">
      <alignment horizontal="right"/>
    </xf>
    <xf numFmtId="4" fontId="0" fillId="0" borderId="2" xfId="0" applyNumberFormat="1" applyFill="1" applyBorder="1" applyAlignment="1">
      <alignment horizontal="right"/>
    </xf>
    <xf numFmtId="3" fontId="7" fillId="0" borderId="2" xfId="0" applyNumberFormat="1" applyFont="1" applyBorder="1" applyAlignment="1">
      <alignment horizontal="right"/>
    </xf>
    <xf numFmtId="166" fontId="2" fillId="3" borderId="2" xfId="0" applyNumberFormat="1" applyFont="1" applyFill="1" applyBorder="1" applyAlignment="1">
      <alignment horizontal="right"/>
    </xf>
    <xf numFmtId="3" fontId="7" fillId="0" borderId="4" xfId="0" applyNumberFormat="1" applyFont="1" applyFill="1" applyBorder="1" applyAlignment="1">
      <alignment horizontal="right"/>
    </xf>
    <xf numFmtId="0" fontId="12" fillId="0" borderId="2" xfId="0" applyFont="1" applyBorder="1"/>
    <xf numFmtId="166" fontId="0" fillId="0" borderId="0" xfId="0" applyNumberFormat="1" applyBorder="1"/>
    <xf numFmtId="0" fontId="3" fillId="0" borderId="0" xfId="0" applyFont="1" applyFill="1" applyAlignment="1">
      <alignment horizontal="right"/>
    </xf>
    <xf numFmtId="0" fontId="3" fillId="0" borderId="0" xfId="0" applyFont="1" applyFill="1"/>
    <xf numFmtId="0" fontId="39" fillId="0" borderId="0" xfId="0" applyFont="1" applyFill="1"/>
    <xf numFmtId="0" fontId="3" fillId="0" borderId="0" xfId="0" applyFont="1" applyAlignment="1">
      <alignment horizontal="right"/>
    </xf>
    <xf numFmtId="0" fontId="40" fillId="0" borderId="0" xfId="0" applyFont="1"/>
    <xf numFmtId="0" fontId="41" fillId="0" borderId="0" xfId="0" applyFont="1" applyAlignment="1">
      <alignment horizontal="center"/>
    </xf>
    <xf numFmtId="9" fontId="41" fillId="0" borderId="0" xfId="0" applyNumberFormat="1" applyFont="1" applyAlignment="1">
      <alignment horizontal="center"/>
    </xf>
    <xf numFmtId="0" fontId="3" fillId="0" borderId="0" xfId="0" applyFont="1"/>
    <xf numFmtId="0" fontId="42" fillId="0" borderId="0" xfId="0" applyFont="1" applyAlignment="1">
      <alignment horizontal="right"/>
    </xf>
    <xf numFmtId="166" fontId="0" fillId="0" borderId="2" xfId="0" applyNumberFormat="1" applyFill="1" applyBorder="1" applyAlignment="1">
      <alignment horizontal="right"/>
    </xf>
    <xf numFmtId="0" fontId="43" fillId="0" borderId="0" xfId="0" applyFont="1"/>
    <xf numFmtId="0" fontId="7" fillId="0" borderId="0" xfId="0" applyFont="1" applyAlignment="1">
      <alignment horizontal="right"/>
    </xf>
    <xf numFmtId="0" fontId="11" fillId="0" borderId="0" xfId="0" applyFont="1"/>
    <xf numFmtId="166" fontId="7" fillId="27" borderId="0" xfId="0" applyNumberFormat="1" applyFont="1" applyFill="1"/>
    <xf numFmtId="166" fontId="0" fillId="28" borderId="0" xfId="0" applyNumberFormat="1" applyFill="1"/>
    <xf numFmtId="166" fontId="0" fillId="3" borderId="0" xfId="0" applyNumberFormat="1" applyFill="1"/>
    <xf numFmtId="0" fontId="44" fillId="0" borderId="0" xfId="0" applyFont="1"/>
    <xf numFmtId="0" fontId="2" fillId="0" borderId="0" xfId="0" applyFont="1"/>
    <xf numFmtId="0" fontId="7" fillId="3" borderId="0" xfId="0" applyFont="1" applyFill="1" applyAlignment="1">
      <alignment horizontal="right"/>
    </xf>
    <xf numFmtId="0" fontId="11" fillId="3" borderId="0" xfId="0" applyFont="1" applyFill="1"/>
    <xf numFmtId="166" fontId="3" fillId="0" borderId="0" xfId="0" applyNumberFormat="1" applyFont="1"/>
    <xf numFmtId="3" fontId="3" fillId="0" borderId="0" xfId="0" applyNumberFormat="1" applyFont="1"/>
    <xf numFmtId="169" fontId="3" fillId="0" borderId="0" xfId="0" applyNumberFormat="1" applyFont="1"/>
    <xf numFmtId="166" fontId="3" fillId="0" borderId="0" xfId="0" applyNumberFormat="1" applyFont="1" applyFill="1"/>
    <xf numFmtId="0" fontId="39" fillId="3" borderId="0" xfId="0" applyFont="1" applyFill="1" applyAlignment="1">
      <alignment horizontal="right"/>
    </xf>
    <xf numFmtId="3" fontId="0" fillId="0" borderId="2" xfId="1" applyNumberFormat="1" applyFont="1" applyFill="1" applyBorder="1" applyAlignment="1">
      <alignment horizontal="center"/>
    </xf>
    <xf numFmtId="3" fontId="0" fillId="0" borderId="2" xfId="0" applyNumberFormat="1" applyFill="1" applyBorder="1"/>
    <xf numFmtId="9" fontId="7" fillId="29" borderId="2" xfId="0" applyNumberFormat="1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vertical="center" wrapText="1"/>
    </xf>
    <xf numFmtId="0" fontId="2" fillId="29" borderId="2" xfId="0" applyFont="1" applyFill="1" applyBorder="1"/>
    <xf numFmtId="0" fontId="2" fillId="29" borderId="2" xfId="0" applyFont="1" applyFill="1" applyBorder="1" applyAlignment="1">
      <alignment horizontal="center"/>
    </xf>
    <xf numFmtId="164" fontId="2" fillId="29" borderId="2" xfId="0" applyNumberFormat="1" applyFont="1" applyFill="1" applyBorder="1"/>
    <xf numFmtId="10" fontId="2" fillId="29" borderId="2" xfId="0" applyNumberFormat="1" applyFont="1" applyFill="1" applyBorder="1"/>
    <xf numFmtId="166" fontId="2" fillId="29" borderId="2" xfId="0" applyNumberFormat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0" fontId="0" fillId="0" borderId="2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47" fillId="0" borderId="0" xfId="0" applyFont="1"/>
    <xf numFmtId="9" fontId="7" fillId="2" borderId="2" xfId="0" applyNumberFormat="1" applyFont="1" applyFill="1" applyBorder="1" applyAlignment="1">
      <alignment horizontal="center"/>
    </xf>
    <xf numFmtId="164" fontId="0" fillId="0" borderId="2" xfId="0" applyNumberFormat="1" applyBorder="1"/>
    <xf numFmtId="166" fontId="0" fillId="0" borderId="13" xfId="0" applyNumberFormat="1" applyBorder="1"/>
    <xf numFmtId="0" fontId="48" fillId="0" borderId="0" xfId="0" applyFont="1"/>
    <xf numFmtId="0" fontId="0" fillId="0" borderId="0" xfId="0" applyAlignment="1">
      <alignment vertical="center" wrapText="1"/>
    </xf>
    <xf numFmtId="9" fontId="0" fillId="0" borderId="0" xfId="0" applyNumberFormat="1" applyAlignment="1">
      <alignment vertical="center" wrapText="1"/>
    </xf>
    <xf numFmtId="0" fontId="12" fillId="0" borderId="0" xfId="0" applyFont="1"/>
    <xf numFmtId="1" fontId="0" fillId="0" borderId="0" xfId="0" applyNumberFormat="1" applyAlignment="1">
      <alignment horizontal="center"/>
    </xf>
    <xf numFmtId="164" fontId="0" fillId="0" borderId="0" xfId="0" applyNumberFormat="1"/>
    <xf numFmtId="10" fontId="0" fillId="0" borderId="0" xfId="0" applyNumberFormat="1"/>
    <xf numFmtId="166" fontId="2" fillId="0" borderId="0" xfId="0" applyNumberFormat="1" applyFont="1"/>
    <xf numFmtId="4" fontId="0" fillId="0" borderId="0" xfId="0" applyNumberFormat="1"/>
    <xf numFmtId="4" fontId="0" fillId="0" borderId="0" xfId="0" applyNumberFormat="1" applyAlignment="1">
      <alignment horizontal="right"/>
    </xf>
    <xf numFmtId="0" fontId="7" fillId="0" borderId="0" xfId="0" applyFont="1" applyFill="1" applyBorder="1"/>
    <xf numFmtId="4" fontId="0" fillId="0" borderId="0" xfId="0" applyNumberFormat="1" applyFill="1"/>
    <xf numFmtId="166" fontId="2" fillId="0" borderId="13" xfId="0" applyNumberFormat="1" applyFont="1" applyBorder="1"/>
    <xf numFmtId="166" fontId="0" fillId="0" borderId="0" xfId="0" applyNumberFormat="1" applyFill="1"/>
    <xf numFmtId="0" fontId="12" fillId="0" borderId="0" xfId="0" applyFont="1" applyAlignment="1">
      <alignment horizontal="center"/>
    </xf>
    <xf numFmtId="9" fontId="0" fillId="0" borderId="0" xfId="1" applyFont="1"/>
    <xf numFmtId="9" fontId="2" fillId="2" borderId="0" xfId="1" applyFont="1" applyFill="1"/>
    <xf numFmtId="166" fontId="2" fillId="2" borderId="2" xfId="0" applyNumberFormat="1" applyFont="1" applyFill="1" applyBorder="1"/>
    <xf numFmtId="0" fontId="7" fillId="0" borderId="0" xfId="0" applyFont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5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50" fillId="30" borderId="17" xfId="0" applyFont="1" applyFill="1" applyBorder="1" applyAlignment="1">
      <alignment horizontal="right" wrapText="1" indent="1"/>
    </xf>
    <xf numFmtId="9" fontId="50" fillId="30" borderId="17" xfId="0" applyNumberFormat="1" applyFont="1" applyFill="1" applyBorder="1" applyAlignment="1">
      <alignment horizontal="right" wrapText="1" indent="1"/>
    </xf>
    <xf numFmtId="0" fontId="50" fillId="30" borderId="18" xfId="0" applyFont="1" applyFill="1" applyBorder="1" applyAlignment="1">
      <alignment horizontal="left" wrapText="1" indent="1"/>
    </xf>
    <xf numFmtId="0" fontId="51" fillId="30" borderId="18" xfId="72" applyFill="1" applyBorder="1" applyAlignment="1" applyProtection="1">
      <alignment horizontal="left" wrapText="1" indent="1"/>
    </xf>
    <xf numFmtId="4" fontId="50" fillId="30" borderId="17" xfId="0" applyNumberFormat="1" applyFont="1" applyFill="1" applyBorder="1" applyAlignment="1">
      <alignment horizontal="right" wrapText="1" indent="1"/>
    </xf>
    <xf numFmtId="0" fontId="0" fillId="0" borderId="0" xfId="0" applyFont="1"/>
    <xf numFmtId="0" fontId="52" fillId="31" borderId="19" xfId="0" applyFont="1" applyFill="1" applyBorder="1" applyAlignment="1">
      <alignment horizontal="center" vertical="center" wrapText="1"/>
    </xf>
    <xf numFmtId="16" fontId="52" fillId="31" borderId="19" xfId="0" applyNumberFormat="1" applyFont="1" applyFill="1" applyBorder="1" applyAlignment="1">
      <alignment horizontal="center" vertical="center" wrapText="1"/>
    </xf>
    <xf numFmtId="0" fontId="52" fillId="31" borderId="21" xfId="0" applyFont="1" applyFill="1" applyBorder="1" applyAlignment="1">
      <alignment horizontal="center" vertical="center" wrapText="1"/>
    </xf>
    <xf numFmtId="0" fontId="25" fillId="0" borderId="0" xfId="37" applyAlignment="1"/>
    <xf numFmtId="0" fontId="54" fillId="0" borderId="0" xfId="57" applyFont="1"/>
    <xf numFmtId="0" fontId="55" fillId="0" borderId="0" xfId="57" applyFont="1"/>
    <xf numFmtId="0" fontId="56" fillId="0" borderId="0" xfId="57" applyFont="1"/>
    <xf numFmtId="0" fontId="56" fillId="32" borderId="2" xfId="57" applyFont="1" applyFill="1" applyBorder="1" applyAlignment="1">
      <alignment horizontal="center"/>
    </xf>
    <xf numFmtId="0" fontId="56" fillId="0" borderId="0" xfId="57" applyFont="1" applyFill="1" applyBorder="1" applyAlignment="1">
      <alignment horizontal="center"/>
    </xf>
    <xf numFmtId="0" fontId="56" fillId="33" borderId="2" xfId="57" applyFont="1" applyFill="1" applyBorder="1" applyAlignment="1">
      <alignment horizontal="center"/>
    </xf>
    <xf numFmtId="10" fontId="56" fillId="33" borderId="24" xfId="57" applyNumberFormat="1" applyFont="1" applyFill="1" applyBorder="1" applyAlignment="1">
      <alignment horizontal="center"/>
    </xf>
    <xf numFmtId="0" fontId="57" fillId="0" borderId="25" xfId="57" applyFont="1" applyBorder="1" applyAlignment="1">
      <alignment horizontal="centerContinuous"/>
    </xf>
    <xf numFmtId="0" fontId="57" fillId="0" borderId="26" xfId="57" applyFont="1" applyBorder="1" applyAlignment="1">
      <alignment horizontal="centerContinuous"/>
    </xf>
    <xf numFmtId="0" fontId="57" fillId="0" borderId="27" xfId="57" applyFont="1" applyBorder="1" applyAlignment="1">
      <alignment horizontal="centerContinuous"/>
    </xf>
    <xf numFmtId="0" fontId="58" fillId="0" borderId="2" xfId="57" applyFont="1" applyBorder="1" applyAlignment="1">
      <alignment horizontal="center"/>
    </xf>
    <xf numFmtId="0" fontId="56" fillId="0" borderId="2" xfId="57" applyFont="1" applyBorder="1"/>
    <xf numFmtId="0" fontId="56" fillId="0" borderId="2" xfId="57" applyFont="1" applyBorder="1" applyAlignment="1">
      <alignment horizontal="center"/>
    </xf>
    <xf numFmtId="10" fontId="56" fillId="0" borderId="2" xfId="57" applyNumberFormat="1" applyFont="1" applyBorder="1" applyAlignment="1">
      <alignment horizontal="center"/>
    </xf>
    <xf numFmtId="168" fontId="56" fillId="0" borderId="2" xfId="43" applyFont="1" applyBorder="1"/>
    <xf numFmtId="10" fontId="56" fillId="0" borderId="0" xfId="57" applyNumberFormat="1" applyFont="1"/>
    <xf numFmtId="10" fontId="56" fillId="0" borderId="0" xfId="57" applyNumberFormat="1" applyFont="1" applyAlignment="1">
      <alignment horizontal="center"/>
    </xf>
    <xf numFmtId="10" fontId="56" fillId="34" borderId="2" xfId="57" applyNumberFormat="1" applyFont="1" applyFill="1" applyBorder="1" applyAlignment="1">
      <alignment horizontal="center"/>
    </xf>
    <xf numFmtId="0" fontId="56" fillId="0" borderId="0" xfId="57" applyFont="1" applyBorder="1" applyAlignment="1">
      <alignment horizontal="center"/>
    </xf>
    <xf numFmtId="10" fontId="56" fillId="0" borderId="0" xfId="57" applyNumberFormat="1" applyFont="1" applyBorder="1" applyAlignment="1">
      <alignment horizontal="center"/>
    </xf>
    <xf numFmtId="10" fontId="56" fillId="0" borderId="15" xfId="57" applyNumberFormat="1" applyFont="1" applyBorder="1" applyAlignment="1">
      <alignment horizontal="center"/>
    </xf>
    <xf numFmtId="0" fontId="59" fillId="0" borderId="0" xfId="57" applyFont="1"/>
    <xf numFmtId="10" fontId="59" fillId="0" borderId="0" xfId="57" applyNumberFormat="1" applyFont="1"/>
    <xf numFmtId="0" fontId="57" fillId="0" borderId="0" xfId="57" applyFont="1" applyAlignment="1">
      <alignment horizontal="left"/>
    </xf>
    <xf numFmtId="0" fontId="56" fillId="0" borderId="0" xfId="57" applyFont="1" applyAlignment="1">
      <alignment horizontal="center"/>
    </xf>
    <xf numFmtId="10" fontId="56" fillId="0" borderId="2" xfId="57" applyNumberFormat="1" applyFont="1" applyBorder="1"/>
    <xf numFmtId="0" fontId="57" fillId="0" borderId="0" xfId="57" applyFont="1"/>
    <xf numFmtId="0" fontId="60" fillId="0" borderId="0" xfId="57" applyFont="1"/>
    <xf numFmtId="10" fontId="56" fillId="0" borderId="2" xfId="64" applyNumberFormat="1" applyFont="1" applyBorder="1" applyAlignment="1">
      <alignment horizontal="center"/>
    </xf>
    <xf numFmtId="0" fontId="63" fillId="0" borderId="0" xfId="0" applyFont="1" applyAlignment="1">
      <alignment horizontal="left"/>
    </xf>
    <xf numFmtId="0" fontId="64" fillId="0" borderId="0" xfId="0" applyFont="1"/>
    <xf numFmtId="0" fontId="63" fillId="0" borderId="0" xfId="0" applyFont="1"/>
    <xf numFmtId="14" fontId="66" fillId="35" borderId="16" xfId="0" applyNumberFormat="1" applyFont="1" applyFill="1" applyBorder="1" applyAlignment="1">
      <alignment horizontal="right" wrapText="1"/>
    </xf>
    <xf numFmtId="14" fontId="66" fillId="35" borderId="31" xfId="0" applyNumberFormat="1" applyFont="1" applyFill="1" applyBorder="1" applyAlignment="1">
      <alignment horizontal="right" wrapText="1"/>
    </xf>
    <xf numFmtId="14" fontId="66" fillId="35" borderId="29" xfId="0" applyNumberFormat="1" applyFont="1" applyFill="1" applyBorder="1" applyAlignment="1">
      <alignment horizontal="right" wrapText="1"/>
    </xf>
    <xf numFmtId="14" fontId="66" fillId="35" borderId="32" xfId="0" applyNumberFormat="1" applyFont="1" applyFill="1" applyBorder="1" applyAlignment="1">
      <alignment horizontal="right" wrapText="1"/>
    </xf>
    <xf numFmtId="14" fontId="66" fillId="35" borderId="30" xfId="0" applyNumberFormat="1" applyFont="1" applyFill="1" applyBorder="1" applyAlignment="1">
      <alignment horizontal="right" wrapText="1"/>
    </xf>
    <xf numFmtId="0" fontId="67" fillId="35" borderId="19" xfId="0" applyFont="1" applyFill="1" applyBorder="1" applyAlignment="1">
      <alignment wrapText="1"/>
    </xf>
    <xf numFmtId="0" fontId="67" fillId="35" borderId="29" xfId="0" applyFont="1" applyFill="1" applyBorder="1" applyAlignment="1">
      <alignment wrapText="1"/>
    </xf>
    <xf numFmtId="0" fontId="67" fillId="35" borderId="32" xfId="0" applyFont="1" applyFill="1" applyBorder="1" applyAlignment="1">
      <alignment horizontal="right" wrapText="1"/>
    </xf>
    <xf numFmtId="0" fontId="67" fillId="35" borderId="30" xfId="0" applyFont="1" applyFill="1" applyBorder="1" applyAlignment="1">
      <alignment horizontal="right" wrapText="1"/>
    </xf>
    <xf numFmtId="0" fontId="67" fillId="35" borderId="21" xfId="0" applyFont="1" applyFill="1" applyBorder="1" applyAlignment="1">
      <alignment wrapText="1"/>
    </xf>
    <xf numFmtId="0" fontId="67" fillId="35" borderId="16" xfId="0" applyFont="1" applyFill="1" applyBorder="1" applyAlignment="1">
      <alignment horizontal="right" wrapText="1"/>
    </xf>
    <xf numFmtId="0" fontId="0" fillId="35" borderId="31" xfId="0" applyFill="1" applyBorder="1"/>
    <xf numFmtId="0" fontId="67" fillId="35" borderId="0" xfId="0" applyFont="1" applyFill="1" applyAlignment="1">
      <alignment wrapText="1"/>
    </xf>
    <xf numFmtId="0" fontId="67" fillId="35" borderId="0" xfId="0" applyFont="1" applyFill="1" applyAlignment="1">
      <alignment horizontal="right" wrapText="1"/>
    </xf>
    <xf numFmtId="0" fontId="67" fillId="35" borderId="33" xfId="0" applyFont="1" applyFill="1" applyBorder="1" applyAlignment="1">
      <alignment horizontal="right" wrapText="1"/>
    </xf>
    <xf numFmtId="0" fontId="67" fillId="35" borderId="23" xfId="0" applyFont="1" applyFill="1" applyBorder="1" applyAlignment="1">
      <alignment wrapText="1"/>
    </xf>
    <xf numFmtId="0" fontId="67" fillId="35" borderId="23" xfId="0" applyFont="1" applyFill="1" applyBorder="1" applyAlignment="1">
      <alignment horizontal="right" wrapText="1"/>
    </xf>
    <xf numFmtId="0" fontId="67" fillId="35" borderId="17" xfId="0" applyFont="1" applyFill="1" applyBorder="1" applyAlignment="1">
      <alignment horizontal="right" wrapText="1"/>
    </xf>
    <xf numFmtId="0" fontId="68" fillId="35" borderId="29" xfId="0" applyFont="1" applyFill="1" applyBorder="1" applyAlignment="1">
      <alignment horizontal="right" wrapText="1"/>
    </xf>
    <xf numFmtId="0" fontId="68" fillId="35" borderId="32" xfId="0" applyFont="1" applyFill="1" applyBorder="1" applyAlignment="1">
      <alignment horizontal="right" wrapText="1"/>
    </xf>
    <xf numFmtId="0" fontId="68" fillId="35" borderId="30" xfId="0" applyFont="1" applyFill="1" applyBorder="1" applyAlignment="1">
      <alignment horizontal="right" wrapText="1"/>
    </xf>
    <xf numFmtId="0" fontId="67" fillId="35" borderId="29" xfId="0" applyFont="1" applyFill="1" applyBorder="1" applyAlignment="1">
      <alignment horizontal="right" wrapText="1"/>
    </xf>
    <xf numFmtId="0" fontId="67" fillId="35" borderId="37" xfId="0" applyFont="1" applyFill="1" applyBorder="1" applyAlignment="1">
      <alignment wrapText="1"/>
    </xf>
    <xf numFmtId="0" fontId="68" fillId="35" borderId="21" xfId="0" applyFont="1" applyFill="1" applyBorder="1" applyAlignment="1">
      <alignment horizontal="right" wrapText="1"/>
    </xf>
    <xf numFmtId="0" fontId="68" fillId="35" borderId="16" xfId="0" applyFont="1" applyFill="1" applyBorder="1" applyAlignment="1">
      <alignment horizontal="right" wrapText="1"/>
    </xf>
    <xf numFmtId="0" fontId="68" fillId="35" borderId="31" xfId="0" applyFont="1" applyFill="1" applyBorder="1" applyAlignment="1">
      <alignment horizontal="right" wrapText="1"/>
    </xf>
    <xf numFmtId="0" fontId="69" fillId="0" borderId="0" xfId="0" applyFont="1" applyAlignment="1"/>
    <xf numFmtId="0" fontId="70" fillId="0" borderId="0" xfId="0" applyFont="1" applyAlignment="1"/>
    <xf numFmtId="0" fontId="71" fillId="0" borderId="0" xfId="0" applyFont="1" applyAlignment="1"/>
    <xf numFmtId="0" fontId="72" fillId="0" borderId="0" xfId="0" applyFont="1" applyAlignment="1"/>
    <xf numFmtId="0" fontId="73" fillId="33" borderId="11" xfId="0" applyFont="1" applyFill="1" applyBorder="1" applyAlignment="1">
      <alignment horizontal="center" vertical="center" wrapText="1"/>
    </xf>
    <xf numFmtId="0" fontId="74" fillId="0" borderId="0" xfId="0" quotePrefix="1" applyFont="1" applyAlignment="1" applyProtection="1"/>
    <xf numFmtId="1" fontId="74" fillId="0" borderId="0" xfId="0" applyNumberFormat="1" applyFont="1" applyAlignment="1" applyProtection="1"/>
    <xf numFmtId="1" fontId="0" fillId="0" borderId="0" xfId="0" applyNumberFormat="1"/>
    <xf numFmtId="0" fontId="75" fillId="0" borderId="0" xfId="50" applyFont="1"/>
    <xf numFmtId="0" fontId="76" fillId="33" borderId="41" xfId="0" applyFont="1" applyFill="1" applyBorder="1" applyAlignment="1"/>
    <xf numFmtId="1" fontId="77" fillId="33" borderId="42" xfId="0" applyNumberFormat="1" applyFont="1" applyFill="1" applyBorder="1" applyAlignment="1">
      <alignment horizontal="right"/>
    </xf>
    <xf numFmtId="0" fontId="51" fillId="0" borderId="0" xfId="72" applyAlignment="1" applyProtection="1"/>
    <xf numFmtId="170" fontId="78" fillId="0" borderId="0" xfId="45" applyNumberFormat="1" applyFont="1" applyFill="1" applyBorder="1"/>
    <xf numFmtId="0" fontId="79" fillId="0" borderId="0" xfId="0" applyFont="1"/>
    <xf numFmtId="0" fontId="2" fillId="0" borderId="0" xfId="0" applyFont="1" applyAlignment="1">
      <alignment horizontal="center"/>
    </xf>
    <xf numFmtId="2" fontId="0" fillId="0" borderId="0" xfId="0" applyNumberFormat="1"/>
    <xf numFmtId="0" fontId="80" fillId="0" borderId="43" xfId="0" applyFont="1" applyBorder="1"/>
    <xf numFmtId="0" fontId="0" fillId="0" borderId="13" xfId="0" applyBorder="1"/>
    <xf numFmtId="0" fontId="0" fillId="0" borderId="44" xfId="0" applyBorder="1"/>
    <xf numFmtId="0" fontId="80" fillId="0" borderId="3" xfId="0" applyFont="1" applyBorder="1"/>
    <xf numFmtId="0" fontId="0" fillId="0" borderId="45" xfId="0" applyBorder="1"/>
    <xf numFmtId="0" fontId="80" fillId="0" borderId="46" xfId="0" applyFont="1" applyBorder="1"/>
    <xf numFmtId="0" fontId="0" fillId="0" borderId="28" xfId="0" applyBorder="1"/>
    <xf numFmtId="171" fontId="2" fillId="0" borderId="0" xfId="0" applyNumberFormat="1" applyFont="1"/>
    <xf numFmtId="0" fontId="83" fillId="0" borderId="0" xfId="0" applyFont="1"/>
    <xf numFmtId="0" fontId="85" fillId="0" borderId="0" xfId="0" applyFont="1"/>
    <xf numFmtId="171" fontId="0" fillId="0" borderId="0" xfId="0" applyNumberFormat="1"/>
    <xf numFmtId="0" fontId="80" fillId="0" borderId="0" xfId="0" applyFont="1"/>
    <xf numFmtId="172" fontId="0" fillId="0" borderId="0" xfId="0" applyNumberFormat="1"/>
    <xf numFmtId="10" fontId="2" fillId="0" borderId="0" xfId="0" applyNumberFormat="1" applyFont="1"/>
    <xf numFmtId="0" fontId="7" fillId="2" borderId="2" xfId="0" applyFont="1" applyFill="1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0" fontId="0" fillId="0" borderId="23" xfId="0" applyBorder="1" applyAlignment="1">
      <alignment vertical="top" wrapText="1"/>
    </xf>
    <xf numFmtId="0" fontId="52" fillId="31" borderId="22" xfId="0" applyFont="1" applyFill="1" applyBorder="1" applyAlignment="1">
      <alignment horizontal="center" vertical="center" wrapText="1"/>
    </xf>
    <xf numFmtId="0" fontId="52" fillId="31" borderId="20" xfId="0" applyFont="1" applyFill="1" applyBorder="1" applyAlignment="1">
      <alignment horizontal="center" vertical="center" wrapText="1"/>
    </xf>
    <xf numFmtId="0" fontId="49" fillId="0" borderId="16" xfId="0" applyFont="1" applyBorder="1" applyAlignment="1">
      <alignment wrapText="1"/>
    </xf>
    <xf numFmtId="0" fontId="53" fillId="0" borderId="0" xfId="0" applyFont="1" applyAlignment="1">
      <alignment vertical="top" wrapText="1"/>
    </xf>
    <xf numFmtId="0" fontId="49" fillId="0" borderId="16" xfId="0" applyFont="1" applyBorder="1" applyAlignment="1">
      <alignment vertical="top" wrapText="1"/>
    </xf>
    <xf numFmtId="0" fontId="0" fillId="0" borderId="0" xfId="0" applyAlignment="1">
      <alignment wrapText="1"/>
    </xf>
    <xf numFmtId="0" fontId="60" fillId="0" borderId="28" xfId="57" applyFont="1" applyBorder="1" applyAlignment="1">
      <alignment horizontal="center"/>
    </xf>
    <xf numFmtId="0" fontId="29" fillId="0" borderId="28" xfId="57" applyBorder="1" applyAlignment="1">
      <alignment horizontal="center"/>
    </xf>
    <xf numFmtId="0" fontId="60" fillId="0" borderId="0" xfId="57" applyFont="1" applyAlignment="1">
      <alignment horizontal="center"/>
    </xf>
    <xf numFmtId="0" fontId="67" fillId="35" borderId="34" xfId="0" applyFont="1" applyFill="1" applyBorder="1" applyAlignment="1">
      <alignment wrapText="1"/>
    </xf>
    <xf numFmtId="0" fontId="67" fillId="35" borderId="35" xfId="0" applyFont="1" applyFill="1" applyBorder="1" applyAlignment="1">
      <alignment wrapText="1"/>
    </xf>
    <xf numFmtId="0" fontId="67" fillId="35" borderId="36" xfId="0" applyFont="1" applyFill="1" applyBorder="1" applyAlignment="1">
      <alignment wrapText="1"/>
    </xf>
    <xf numFmtId="0" fontId="68" fillId="35" borderId="37" xfId="0" applyFont="1" applyFill="1" applyBorder="1" applyAlignment="1">
      <alignment wrapText="1"/>
    </xf>
    <xf numFmtId="0" fontId="68" fillId="35" borderId="23" xfId="0" applyFont="1" applyFill="1" applyBorder="1" applyAlignment="1">
      <alignment wrapText="1"/>
    </xf>
    <xf numFmtId="0" fontId="67" fillId="0" borderId="37" xfId="0" applyFont="1" applyBorder="1" applyAlignment="1">
      <alignment wrapText="1"/>
    </xf>
    <xf numFmtId="0" fontId="67" fillId="0" borderId="23" xfId="0" applyFont="1" applyBorder="1" applyAlignment="1">
      <alignment wrapText="1"/>
    </xf>
    <xf numFmtId="0" fontId="67" fillId="0" borderId="17" xfId="0" applyFont="1" applyBorder="1" applyAlignment="1">
      <alignment wrapText="1"/>
    </xf>
    <xf numFmtId="0" fontId="67" fillId="35" borderId="38" xfId="0" applyFont="1" applyFill="1" applyBorder="1" applyAlignment="1">
      <alignment wrapText="1"/>
    </xf>
    <xf numFmtId="0" fontId="67" fillId="35" borderId="40" xfId="0" applyFont="1" applyFill="1" applyBorder="1" applyAlignment="1">
      <alignment wrapText="1"/>
    </xf>
    <xf numFmtId="0" fontId="67" fillId="35" borderId="39" xfId="0" applyFont="1" applyFill="1" applyBorder="1" applyAlignment="1">
      <alignment wrapText="1"/>
    </xf>
    <xf numFmtId="0" fontId="68" fillId="35" borderId="38" xfId="0" applyFont="1" applyFill="1" applyBorder="1" applyAlignment="1">
      <alignment wrapText="1"/>
    </xf>
    <xf numFmtId="0" fontId="68" fillId="35" borderId="39" xfId="0" applyFont="1" applyFill="1" applyBorder="1" applyAlignment="1">
      <alignment wrapText="1"/>
    </xf>
    <xf numFmtId="0" fontId="67" fillId="35" borderId="0" xfId="0" applyFont="1" applyFill="1" applyAlignment="1">
      <alignment wrapText="1"/>
    </xf>
    <xf numFmtId="0" fontId="67" fillId="35" borderId="19" xfId="0" applyFont="1" applyFill="1" applyBorder="1" applyAlignment="1">
      <alignment wrapText="1"/>
    </xf>
    <xf numFmtId="0" fontId="67" fillId="35" borderId="33" xfId="0" applyFont="1" applyFill="1" applyBorder="1" applyAlignment="1">
      <alignment wrapText="1"/>
    </xf>
    <xf numFmtId="0" fontId="68" fillId="35" borderId="19" xfId="0" applyFont="1" applyFill="1" applyBorder="1" applyAlignment="1">
      <alignment wrapText="1"/>
    </xf>
    <xf numFmtId="0" fontId="68" fillId="35" borderId="0" xfId="0" applyFont="1" applyFill="1" applyAlignment="1">
      <alignment wrapText="1"/>
    </xf>
    <xf numFmtId="0" fontId="68" fillId="35" borderId="33" xfId="0" applyFont="1" applyFill="1" applyBorder="1" applyAlignment="1">
      <alignment wrapText="1"/>
    </xf>
    <xf numFmtId="0" fontId="67" fillId="35" borderId="37" xfId="0" applyFont="1" applyFill="1" applyBorder="1" applyAlignment="1">
      <alignment wrapText="1"/>
    </xf>
    <xf numFmtId="0" fontId="67" fillId="35" borderId="17" xfId="0" applyFont="1" applyFill="1" applyBorder="1" applyAlignment="1">
      <alignment wrapText="1"/>
    </xf>
    <xf numFmtId="0" fontId="68" fillId="35" borderId="29" xfId="0" applyFont="1" applyFill="1" applyBorder="1" applyAlignment="1">
      <alignment wrapText="1"/>
    </xf>
    <xf numFmtId="0" fontId="68" fillId="35" borderId="30" xfId="0" applyFont="1" applyFill="1" applyBorder="1" applyAlignment="1">
      <alignment wrapText="1"/>
    </xf>
    <xf numFmtId="0" fontId="67" fillId="35" borderId="21" xfId="0" applyFont="1" applyFill="1" applyBorder="1" applyAlignment="1">
      <alignment wrapText="1"/>
    </xf>
    <xf numFmtId="0" fontId="67" fillId="35" borderId="31" xfId="0" applyFont="1" applyFill="1" applyBorder="1" applyAlignment="1">
      <alignment wrapText="1"/>
    </xf>
    <xf numFmtId="0" fontId="67" fillId="35" borderId="16" xfId="0" applyFont="1" applyFill="1" applyBorder="1" applyAlignment="1">
      <alignment wrapText="1"/>
    </xf>
    <xf numFmtId="0" fontId="67" fillId="35" borderId="29" xfId="0" applyFont="1" applyFill="1" applyBorder="1" applyAlignment="1">
      <alignment wrapText="1"/>
    </xf>
    <xf numFmtId="0" fontId="67" fillId="35" borderId="30" xfId="0" applyFont="1" applyFill="1" applyBorder="1" applyAlignment="1">
      <alignment wrapText="1"/>
    </xf>
    <xf numFmtId="0" fontId="65" fillId="35" borderId="29" xfId="0" applyFont="1" applyFill="1" applyBorder="1" applyAlignment="1">
      <alignment wrapText="1"/>
    </xf>
    <xf numFmtId="0" fontId="65" fillId="35" borderId="30" xfId="0" applyFont="1" applyFill="1" applyBorder="1" applyAlignment="1">
      <alignment wrapText="1"/>
    </xf>
  </cellXfs>
  <cellStyles count="73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ccent1" xfId="20"/>
    <cellStyle name="Accent2" xfId="21"/>
    <cellStyle name="Accent3" xfId="22"/>
    <cellStyle name="Accent4" xfId="23"/>
    <cellStyle name="Accent5" xfId="24"/>
    <cellStyle name="Accent6" xfId="25"/>
    <cellStyle name="Bad" xfId="26"/>
    <cellStyle name="Calculation" xfId="27"/>
    <cellStyle name="Check Cell" xfId="28"/>
    <cellStyle name="ColumnHeaderNormal" xfId="29"/>
    <cellStyle name="Explanatory Text" xfId="30"/>
    <cellStyle name="Good" xfId="31"/>
    <cellStyle name="Heading 1" xfId="32"/>
    <cellStyle name="Heading 2" xfId="33"/>
    <cellStyle name="Heading 3" xfId="34"/>
    <cellStyle name="Heading 4" xfId="35"/>
    <cellStyle name="Hipervínculo" xfId="72" builtinId="8"/>
    <cellStyle name="Hipervínculo 2" xfId="36"/>
    <cellStyle name="Hipervínculo 3" xfId="37"/>
    <cellStyle name="Input" xfId="38"/>
    <cellStyle name="Linked Cell" xfId="39"/>
    <cellStyle name="Millares 2" xfId="40"/>
    <cellStyle name="Millares 2 2" xfId="41"/>
    <cellStyle name="Moneda 2" xfId="42"/>
    <cellStyle name="Moneda_S&amp;P500 y .." xfId="43"/>
    <cellStyle name="Normal" xfId="0" builtinId="0"/>
    <cellStyle name="Normal 2" xfId="44"/>
    <cellStyle name="Normal 2 2" xfId="45"/>
    <cellStyle name="Normal 2_CASO GLORIA  2009 2005  completo -hoja de trabajo" xfId="46"/>
    <cellStyle name="Normal 3" xfId="47"/>
    <cellStyle name="Normal 3 2" xfId="48"/>
    <cellStyle name="Normal 3 3" xfId="49"/>
    <cellStyle name="Normal 3 4" xfId="50"/>
    <cellStyle name="Normal 3_CASO GLORIA  2009 2005  completo -hoja de trabajo" xfId="51"/>
    <cellStyle name="Normal 4" xfId="52"/>
    <cellStyle name="Normal 4 2" xfId="53"/>
    <cellStyle name="Normal 4 2 2" xfId="54"/>
    <cellStyle name="Normal 5" xfId="55"/>
    <cellStyle name="Normal 6" xfId="56"/>
    <cellStyle name="Normal_S&amp;P500 y .." xfId="57"/>
    <cellStyle name="Note" xfId="58"/>
    <cellStyle name="Output" xfId="59"/>
    <cellStyle name="Percent 2" xfId="60"/>
    <cellStyle name="Percent 2 2" xfId="61"/>
    <cellStyle name="Porcentaje 2" xfId="62"/>
    <cellStyle name="Porcentual" xfId="1" builtinId="5"/>
    <cellStyle name="Porcentual 2" xfId="63"/>
    <cellStyle name="Porcentual 2 2" xfId="64"/>
    <cellStyle name="Porcentual 3" xfId="65"/>
    <cellStyle name="Porcentual 3 2" xfId="66"/>
    <cellStyle name="Porcentual 4" xfId="67"/>
    <cellStyle name="Porcentual 5" xfId="68"/>
    <cellStyle name="TextNormal" xfId="69"/>
    <cellStyle name="Title" xfId="70"/>
    <cellStyle name="Warning Text" xfId="7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761999</xdr:colOff>
      <xdr:row>9</xdr:row>
      <xdr:rowOff>0</xdr:rowOff>
    </xdr:from>
    <xdr:to>
      <xdr:col>6</xdr:col>
      <xdr:colOff>352424</xdr:colOff>
      <xdr:row>27</xdr:row>
      <xdr:rowOff>39688</xdr:rowOff>
    </xdr:to>
    <xdr:pic>
      <xdr:nvPicPr>
        <xdr:cNvPr id="2" name="1 Imagen" descr="Tax USA.bmp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1999" y="1371600"/>
          <a:ext cx="4162425" cy="346868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esar/Downloads/Supuestos%20Finales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ALEIVA/AppData/Local/Microsoft/Windows/Temporary%20Internet%20Files/Content.IE5/31NW7W5K/S&amp;P500%20y%20..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1 (2)"/>
      <sheetName val="Costo de Producir "/>
      <sheetName val="Costo de Comprar"/>
      <sheetName val="I. inver costos y Gastos "/>
      <sheetName val="GGYPP"/>
      <sheetName val="Inversion Requerida"/>
      <sheetName val="Calculo WACC"/>
      <sheetName val="Proyecciones F"/>
      <sheetName val="Indicadores"/>
      <sheetName val="Sensibilidad"/>
      <sheetName val="Tax USA"/>
      <sheetName val="S&amp;P500 y T-Bond"/>
      <sheetName val="Riesgo Pais"/>
      <sheetName val="Balanc. CToro-Constel"/>
      <sheetName val="Plan de compensación"/>
      <sheetName val="Proy. Ventas x Canal"/>
      <sheetName val="Ptto de promocion del pisco"/>
      <sheetName val="Cientes de la empresa"/>
      <sheetName val="Estadisticas del pisco"/>
    </sheetNames>
    <sheetDataSet>
      <sheetData sheetId="0"/>
      <sheetData sheetId="1"/>
      <sheetData sheetId="2"/>
      <sheetData sheetId="3">
        <row r="20">
          <cell r="F20">
            <v>14.431433333333334</v>
          </cell>
          <cell r="M20">
            <v>17.989766666666672</v>
          </cell>
        </row>
        <row r="41">
          <cell r="F41">
            <v>15.181433333333334</v>
          </cell>
          <cell r="M41">
            <v>18.739766666666672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96">
          <cell r="B96">
            <v>9.4666368193432701E-2</v>
          </cell>
          <cell r="D96">
            <v>7.3891417634009554E-2</v>
          </cell>
        </row>
      </sheetData>
      <sheetData sheetId="13">
        <row r="80">
          <cell r="C80">
            <v>218.37312945627127</v>
          </cell>
        </row>
      </sheetData>
      <sheetData sheetId="14"/>
      <sheetData sheetId="15">
        <row r="42">
          <cell r="H42">
            <v>1.5</v>
          </cell>
          <cell r="J42">
            <v>0.45</v>
          </cell>
        </row>
        <row r="45">
          <cell r="D45">
            <v>2000</v>
          </cell>
          <cell r="G45">
            <v>1333.3333333333335</v>
          </cell>
        </row>
        <row r="46">
          <cell r="C46">
            <v>5</v>
          </cell>
          <cell r="D46">
            <v>750</v>
          </cell>
          <cell r="G46">
            <v>1392.8571428571429</v>
          </cell>
        </row>
        <row r="47">
          <cell r="D47">
            <v>1500</v>
          </cell>
        </row>
        <row r="48">
          <cell r="D48">
            <v>750</v>
          </cell>
        </row>
        <row r="49">
          <cell r="D49">
            <v>1100</v>
          </cell>
        </row>
        <row r="50">
          <cell r="D50">
            <v>750</v>
          </cell>
        </row>
        <row r="51">
          <cell r="D51">
            <v>850</v>
          </cell>
        </row>
        <row r="52">
          <cell r="C52">
            <v>4</v>
          </cell>
          <cell r="D52">
            <v>450</v>
          </cell>
        </row>
      </sheetData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turns by year"/>
      <sheetName val="S&amp;P 500 &amp; Raw Data"/>
      <sheetName val="T. Bill rates"/>
      <sheetName val="T. Bond return"/>
      <sheetName val="Summary for ppt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 refreshError="1"/>
      <sheetData sheetId="1">
        <row r="3">
          <cell r="B3">
            <v>17.66</v>
          </cell>
        </row>
        <row r="4">
          <cell r="B4">
            <v>24.35</v>
          </cell>
          <cell r="C4">
            <v>1.04705</v>
          </cell>
          <cell r="F4">
            <v>8.354708589799302E-3</v>
          </cell>
        </row>
        <row r="5">
          <cell r="B5">
            <v>21.45</v>
          </cell>
          <cell r="C5">
            <v>0.87944999999999995</v>
          </cell>
          <cell r="F5">
            <v>4.2038041563204259E-2</v>
          </cell>
        </row>
        <row r="6">
          <cell r="B6">
            <v>15.34</v>
          </cell>
          <cell r="C6">
            <v>0.72097999999999995</v>
          </cell>
          <cell r="F6">
            <v>4.5409314348970366E-2</v>
          </cell>
        </row>
        <row r="7">
          <cell r="B7">
            <v>8.1199999999999992</v>
          </cell>
          <cell r="C7">
            <v>0.49531999999999993</v>
          </cell>
          <cell r="F7">
            <v>-2.5588559619422531E-2</v>
          </cell>
        </row>
        <row r="8">
          <cell r="B8">
            <v>6.92</v>
          </cell>
          <cell r="C8">
            <v>0.49823999999999996</v>
          </cell>
          <cell r="F8">
            <v>8.7903069904773257E-2</v>
          </cell>
        </row>
        <row r="9">
          <cell r="B9">
            <v>9.9700000000000006</v>
          </cell>
          <cell r="C9">
            <v>0.40877000000000002</v>
          </cell>
          <cell r="F9">
            <v>1.8552720891857361E-2</v>
          </cell>
        </row>
        <row r="10">
          <cell r="B10">
            <v>9.5</v>
          </cell>
          <cell r="C10">
            <v>0.35149999999999998</v>
          </cell>
          <cell r="F10">
            <v>7.9634426179656104E-2</v>
          </cell>
        </row>
        <row r="11">
          <cell r="B11">
            <v>13.43</v>
          </cell>
          <cell r="C11">
            <v>0.51034000000000002</v>
          </cell>
          <cell r="F11">
            <v>4.4720477296566127E-2</v>
          </cell>
        </row>
        <row r="12">
          <cell r="B12">
            <v>17.18</v>
          </cell>
          <cell r="C12">
            <v>0.54</v>
          </cell>
          <cell r="F12">
            <v>5.0178754045450601E-2</v>
          </cell>
        </row>
        <row r="13">
          <cell r="B13">
            <v>10.55</v>
          </cell>
          <cell r="C13">
            <v>0.55915000000000004</v>
          </cell>
          <cell r="F13">
            <v>1.379146059646038E-2</v>
          </cell>
        </row>
        <row r="14">
          <cell r="B14">
            <v>13.14</v>
          </cell>
          <cell r="C14">
            <v>0.49931999999999999</v>
          </cell>
          <cell r="F14">
            <v>4.2132485322046068E-2</v>
          </cell>
        </row>
        <row r="15">
          <cell r="B15">
            <v>12.46</v>
          </cell>
          <cell r="C15">
            <v>0.53578000000000003</v>
          </cell>
          <cell r="F15">
            <v>4.4122613942060671E-2</v>
          </cell>
        </row>
        <row r="16">
          <cell r="B16">
            <v>10.58</v>
          </cell>
          <cell r="C16">
            <v>0.55015999999999998</v>
          </cell>
          <cell r="F16">
            <v>5.4024815962845509E-2</v>
          </cell>
        </row>
        <row r="17">
          <cell r="B17">
            <v>8.69</v>
          </cell>
          <cell r="C17">
            <v>0.53877999999999993</v>
          </cell>
          <cell r="F17">
            <v>-2.0221975848580105E-2</v>
          </cell>
        </row>
        <row r="18">
          <cell r="B18">
            <v>9.77</v>
          </cell>
          <cell r="C18">
            <v>0.58619999999999994</v>
          </cell>
          <cell r="F18">
            <v>2.2948682374484164E-2</v>
          </cell>
        </row>
        <row r="19">
          <cell r="B19">
            <v>11.67</v>
          </cell>
          <cell r="C19">
            <v>0.54849000000000003</v>
          </cell>
          <cell r="F19">
            <v>2.4899999999999999E-2</v>
          </cell>
        </row>
        <row r="20">
          <cell r="B20">
            <v>13.28</v>
          </cell>
          <cell r="C20">
            <v>0.61087999999999998</v>
          </cell>
          <cell r="F20">
            <v>2.5776111579070303E-2</v>
          </cell>
        </row>
        <row r="21">
          <cell r="B21">
            <v>17.36</v>
          </cell>
          <cell r="C21">
            <v>0.67703999999999998</v>
          </cell>
          <cell r="F21">
            <v>3.8044173419237229E-2</v>
          </cell>
        </row>
        <row r="22">
          <cell r="B22">
            <v>15.3</v>
          </cell>
          <cell r="C22">
            <v>0.59670000000000001</v>
          </cell>
          <cell r="F22">
            <v>3.1283745375695685E-2</v>
          </cell>
        </row>
        <row r="23">
          <cell r="B23">
            <v>15.3</v>
          </cell>
          <cell r="C23">
            <v>0.79559999999999997</v>
          </cell>
          <cell r="F23">
            <v>9.1969680628322358E-3</v>
          </cell>
        </row>
        <row r="24">
          <cell r="B24">
            <v>15.2</v>
          </cell>
          <cell r="C24">
            <v>0.9728</v>
          </cell>
          <cell r="F24">
            <v>1.9510369413175046E-2</v>
          </cell>
        </row>
        <row r="25">
          <cell r="B25">
            <v>16.79</v>
          </cell>
          <cell r="C25">
            <v>1.1920899999999999</v>
          </cell>
          <cell r="F25">
            <v>4.6634851827973139E-2</v>
          </cell>
        </row>
        <row r="26">
          <cell r="B26">
            <v>20.43</v>
          </cell>
          <cell r="C26">
            <v>1.5322499999999999</v>
          </cell>
          <cell r="F26">
            <v>4.2959574171096103E-3</v>
          </cell>
        </row>
        <row r="27">
          <cell r="B27">
            <v>23.77</v>
          </cell>
          <cell r="C27">
            <v>1.4975099999999999</v>
          </cell>
          <cell r="F27">
            <v>-2.9531392208319886E-3</v>
          </cell>
        </row>
        <row r="28">
          <cell r="B28">
            <v>26.57</v>
          </cell>
          <cell r="C28">
            <v>1.5144900000000001</v>
          </cell>
          <cell r="F28">
            <v>2.2679961918305656E-2</v>
          </cell>
        </row>
        <row r="29">
          <cell r="B29">
            <v>24.81</v>
          </cell>
          <cell r="C29">
            <v>1.4389799999999999</v>
          </cell>
          <cell r="F29">
            <v>4.1438402589088513E-2</v>
          </cell>
        </row>
        <row r="30">
          <cell r="B30">
            <v>35.979999999999997</v>
          </cell>
          <cell r="C30">
            <v>1.8709599999999997</v>
          </cell>
          <cell r="F30">
            <v>3.2898034558095555E-2</v>
          </cell>
        </row>
        <row r="31">
          <cell r="B31">
            <v>45.48</v>
          </cell>
          <cell r="C31">
            <v>2.2285200000000001</v>
          </cell>
          <cell r="F31">
            <v>-1.3364391288618781E-2</v>
          </cell>
        </row>
        <row r="32">
          <cell r="B32">
            <v>46.67</v>
          </cell>
          <cell r="C32">
            <v>2.1934900000000002</v>
          </cell>
          <cell r="F32">
            <v>-2.2557738173154165E-2</v>
          </cell>
        </row>
        <row r="33">
          <cell r="B33">
            <v>39.99</v>
          </cell>
          <cell r="C33">
            <v>1.79955</v>
          </cell>
          <cell r="F33">
            <v>6.7970128466249904E-2</v>
          </cell>
        </row>
        <row r="34">
          <cell r="B34">
            <v>55.21</v>
          </cell>
          <cell r="C34">
            <v>2.2636100000000003</v>
          </cell>
          <cell r="F34">
            <v>-2.0990181755274694E-2</v>
          </cell>
        </row>
        <row r="35">
          <cell r="B35">
            <v>59.89</v>
          </cell>
          <cell r="C35">
            <v>1.9763700000000002</v>
          </cell>
          <cell r="F35">
            <v>-2.6466312591385065E-2</v>
          </cell>
        </row>
        <row r="36">
          <cell r="B36">
            <v>58.11</v>
          </cell>
          <cell r="C36">
            <v>1.9815510000000001</v>
          </cell>
          <cell r="F36">
            <v>0.11639503690963365</v>
          </cell>
        </row>
        <row r="37">
          <cell r="B37">
            <v>71.55</v>
          </cell>
          <cell r="C37">
            <v>2.0391750000000002</v>
          </cell>
          <cell r="F37">
            <v>2.0609208076323167E-2</v>
          </cell>
        </row>
        <row r="38">
          <cell r="B38">
            <v>63.1</v>
          </cell>
          <cell r="C38">
            <v>2.1454</v>
          </cell>
          <cell r="F38">
            <v>5.693544054008462E-2</v>
          </cell>
        </row>
        <row r="39">
          <cell r="B39">
            <v>75.02</v>
          </cell>
          <cell r="C39">
            <v>2.3481260000000002</v>
          </cell>
          <cell r="F39">
            <v>1.6841620739546127E-2</v>
          </cell>
        </row>
        <row r="40">
          <cell r="B40">
            <v>84.75</v>
          </cell>
          <cell r="C40">
            <v>2.5848749999999998</v>
          </cell>
          <cell r="F40">
            <v>3.7280648911540815E-2</v>
          </cell>
        </row>
        <row r="41">
          <cell r="B41">
            <v>92.43</v>
          </cell>
          <cell r="C41">
            <v>2.8283580000000001</v>
          </cell>
          <cell r="F41">
            <v>7.1885509359262342E-3</v>
          </cell>
        </row>
        <row r="42">
          <cell r="B42">
            <v>80.33</v>
          </cell>
          <cell r="C42">
            <v>2.8838469999999998</v>
          </cell>
          <cell r="F42">
            <v>2.9079409324299622E-2</v>
          </cell>
        </row>
        <row r="43">
          <cell r="B43">
            <v>96.47</v>
          </cell>
          <cell r="C43">
            <v>2.9809230000000002</v>
          </cell>
          <cell r="F43">
            <v>-1.5806209932824666E-2</v>
          </cell>
        </row>
        <row r="44">
          <cell r="B44">
            <v>103.86</v>
          </cell>
          <cell r="C44">
            <v>3.0430980000000001</v>
          </cell>
          <cell r="F44">
            <v>3.2746196950768365E-2</v>
          </cell>
        </row>
        <row r="45">
          <cell r="B45">
            <v>92.06</v>
          </cell>
          <cell r="C45">
            <v>3.2405119999999998</v>
          </cell>
          <cell r="F45">
            <v>-5.0140493209926106E-2</v>
          </cell>
        </row>
        <row r="46">
          <cell r="B46">
            <v>92.15</v>
          </cell>
          <cell r="C46">
            <v>3.1883900000000001</v>
          </cell>
          <cell r="F46">
            <v>0.16754737183412338</v>
          </cell>
        </row>
        <row r="47">
          <cell r="B47">
            <v>102.09</v>
          </cell>
          <cell r="C47">
            <v>3.16479</v>
          </cell>
          <cell r="F47">
            <v>9.7868966197122972E-2</v>
          </cell>
        </row>
        <row r="48">
          <cell r="B48">
            <v>118.05</v>
          </cell>
          <cell r="C48">
            <v>3.1873499999999999</v>
          </cell>
          <cell r="F48">
            <v>2.818449050444969E-2</v>
          </cell>
        </row>
        <row r="49">
          <cell r="B49">
            <v>97.55</v>
          </cell>
          <cell r="C49">
            <v>3.6093500000000001</v>
          </cell>
          <cell r="F49">
            <v>3.6586646024150085E-2</v>
          </cell>
        </row>
        <row r="50">
          <cell r="B50">
            <v>68.56</v>
          </cell>
          <cell r="C50">
            <v>3.7228080000000001</v>
          </cell>
          <cell r="F50">
            <v>1.9886086932378574E-2</v>
          </cell>
        </row>
        <row r="51">
          <cell r="B51">
            <v>90.19</v>
          </cell>
          <cell r="C51">
            <v>3.7338659999999999</v>
          </cell>
          <cell r="F51">
            <v>3.6052536026033838E-2</v>
          </cell>
        </row>
        <row r="52">
          <cell r="B52">
            <v>107.46</v>
          </cell>
          <cell r="C52">
            <v>4.2231779999999999</v>
          </cell>
          <cell r="F52">
            <v>0.1598456074290921</v>
          </cell>
        </row>
        <row r="53">
          <cell r="B53">
            <v>95.1</v>
          </cell>
          <cell r="C53">
            <v>4.85961</v>
          </cell>
          <cell r="F53">
            <v>1.2899606071070449E-2</v>
          </cell>
        </row>
        <row r="54">
          <cell r="B54">
            <v>96.11</v>
          </cell>
          <cell r="C54">
            <v>5.1803290000000004</v>
          </cell>
          <cell r="F54">
            <v>-7.7758069075086478E-3</v>
          </cell>
        </row>
        <row r="55">
          <cell r="B55">
            <v>107.94</v>
          </cell>
          <cell r="C55">
            <v>5.9690820000000002</v>
          </cell>
          <cell r="F55">
            <v>6.7072031247235459E-3</v>
          </cell>
        </row>
        <row r="56">
          <cell r="B56">
            <v>135.76</v>
          </cell>
          <cell r="C56">
            <v>6.4350240000000003</v>
          </cell>
          <cell r="F56">
            <v>-2.989744251999403E-2</v>
          </cell>
        </row>
        <row r="57">
          <cell r="B57">
            <v>122.55</v>
          </cell>
          <cell r="C57">
            <v>6.8260350000000001</v>
          </cell>
          <cell r="F57">
            <v>8.1992153358923542E-2</v>
          </cell>
        </row>
        <row r="58">
          <cell r="B58">
            <v>140.63999999999999</v>
          </cell>
          <cell r="C58">
            <v>6.9335519999999997</v>
          </cell>
          <cell r="F58">
            <v>0.32814549486295586</v>
          </cell>
        </row>
        <row r="59">
          <cell r="B59">
            <v>164.93</v>
          </cell>
          <cell r="C59">
            <v>7.1249760000000002</v>
          </cell>
          <cell r="F59">
            <v>3.2002094451429264E-2</v>
          </cell>
        </row>
        <row r="60">
          <cell r="B60">
            <v>167.24</v>
          </cell>
          <cell r="C60">
            <v>7.8268319999999996</v>
          </cell>
          <cell r="F60">
            <v>0.13733364344102345</v>
          </cell>
        </row>
        <row r="61">
          <cell r="B61">
            <v>211.28</v>
          </cell>
          <cell r="C61">
            <v>8.1976639999999996</v>
          </cell>
          <cell r="F61">
            <v>0.2571248821260641</v>
          </cell>
        </row>
        <row r="62">
          <cell r="B62">
            <v>242.17</v>
          </cell>
          <cell r="C62">
            <v>8.1853459999999991</v>
          </cell>
          <cell r="F62">
            <v>0.24284215141767618</v>
          </cell>
        </row>
        <row r="63">
          <cell r="B63">
            <v>247.08</v>
          </cell>
          <cell r="C63">
            <v>9.1666679999999996</v>
          </cell>
          <cell r="F63">
            <v>-4.9605089379262279E-2</v>
          </cell>
        </row>
        <row r="64">
          <cell r="B64">
            <v>277.72000000000003</v>
          </cell>
          <cell r="C64">
            <v>10.220096</v>
          </cell>
          <cell r="F64">
            <v>8.2235958434841674E-2</v>
          </cell>
        </row>
        <row r="65">
          <cell r="B65">
            <v>353.4</v>
          </cell>
          <cell r="C65">
            <v>11.73288</v>
          </cell>
          <cell r="F65">
            <v>0.17693647159446219</v>
          </cell>
        </row>
        <row r="66">
          <cell r="B66">
            <v>330.22</v>
          </cell>
          <cell r="C66">
            <v>12.350228</v>
          </cell>
          <cell r="F66">
            <v>6.2353753335533363E-2</v>
          </cell>
        </row>
        <row r="67">
          <cell r="B67">
            <v>417.09</v>
          </cell>
          <cell r="C67">
            <v>12.971499</v>
          </cell>
          <cell r="F67">
            <v>0.15004510019517303</v>
          </cell>
        </row>
        <row r="68">
          <cell r="B68">
            <v>435.71</v>
          </cell>
          <cell r="C68">
            <v>12.635590000000001</v>
          </cell>
          <cell r="F68">
            <v>9.3616373162079422E-2</v>
          </cell>
        </row>
        <row r="69">
          <cell r="B69">
            <v>466.45</v>
          </cell>
          <cell r="C69">
            <v>12.68744</v>
          </cell>
          <cell r="F69">
            <v>0.14210957589263107</v>
          </cell>
        </row>
        <row r="70">
          <cell r="B70">
            <v>459.27</v>
          </cell>
          <cell r="C70">
            <v>13.364757000000001</v>
          </cell>
          <cell r="F70">
            <v>-8.0366555509985921E-2</v>
          </cell>
        </row>
        <row r="71">
          <cell r="B71">
            <v>615.92999999999995</v>
          </cell>
          <cell r="C71">
            <v>14.16639</v>
          </cell>
          <cell r="F71">
            <v>0.23480780112538907</v>
          </cell>
        </row>
        <row r="72">
          <cell r="B72">
            <v>747.74</v>
          </cell>
          <cell r="C72">
            <v>14.888873999999999</v>
          </cell>
          <cell r="F72">
            <v>1.428607793401844E-2</v>
          </cell>
        </row>
        <row r="73">
          <cell r="B73">
            <v>970.43</v>
          </cell>
          <cell r="C73">
            <v>15.522</v>
          </cell>
          <cell r="F73">
            <v>9.939130272977531E-2</v>
          </cell>
        </row>
        <row r="74">
          <cell r="B74">
            <v>1229.23</v>
          </cell>
          <cell r="C74">
            <v>16.2</v>
          </cell>
          <cell r="F74">
            <v>0.14921431922606215</v>
          </cell>
        </row>
        <row r="75">
          <cell r="B75">
            <v>1469.25</v>
          </cell>
          <cell r="C75">
            <v>16.709</v>
          </cell>
          <cell r="F75">
            <v>-8.2542147962685761E-2</v>
          </cell>
        </row>
        <row r="76">
          <cell r="B76">
            <v>1320.28</v>
          </cell>
          <cell r="C76">
            <v>16.27</v>
          </cell>
          <cell r="F76">
            <v>0.16655267125397488</v>
          </cell>
        </row>
        <row r="77">
          <cell r="B77">
            <v>1148.0899999999999</v>
          </cell>
          <cell r="C77">
            <v>15.74</v>
          </cell>
          <cell r="F77">
            <v>5.5721811892492555E-2</v>
          </cell>
        </row>
        <row r="78">
          <cell r="B78">
            <v>879.82</v>
          </cell>
          <cell r="C78">
            <v>16.079999999999998</v>
          </cell>
          <cell r="F78">
            <v>0.15116400378109285</v>
          </cell>
        </row>
        <row r="79">
          <cell r="B79">
            <v>1111.9100000000001</v>
          </cell>
          <cell r="C79">
            <v>17.39</v>
          </cell>
          <cell r="F79">
            <v>3.7531858817758529E-3</v>
          </cell>
        </row>
        <row r="80">
          <cell r="B80">
            <v>1211.92</v>
          </cell>
          <cell r="C80">
            <v>19.440000000000001</v>
          </cell>
          <cell r="F80">
            <v>4.490683702274547E-2</v>
          </cell>
        </row>
        <row r="81">
          <cell r="B81">
            <v>1248.29</v>
          </cell>
          <cell r="C81">
            <v>22.22</v>
          </cell>
          <cell r="F81">
            <v>2.8675329597779506E-2</v>
          </cell>
        </row>
        <row r="82">
          <cell r="B82">
            <v>1418.3</v>
          </cell>
          <cell r="C82">
            <v>24.88</v>
          </cell>
          <cell r="F82">
            <v>1.9610012417568386E-2</v>
          </cell>
        </row>
        <row r="83">
          <cell r="B83">
            <v>1468.36</v>
          </cell>
          <cell r="C83">
            <v>27.73</v>
          </cell>
          <cell r="F83">
            <v>0.10209921930012807</v>
          </cell>
        </row>
        <row r="84">
          <cell r="B84">
            <v>903.25</v>
          </cell>
          <cell r="C84">
            <v>28.39</v>
          </cell>
          <cell r="F84">
            <v>0.20101279926977011</v>
          </cell>
        </row>
        <row r="85">
          <cell r="B85">
            <v>1115.0999999999999</v>
          </cell>
          <cell r="C85">
            <v>22.41</v>
          </cell>
          <cell r="F85">
            <v>-0.11116695313259162</v>
          </cell>
        </row>
        <row r="86">
          <cell r="B86">
            <v>1257.6400000000001</v>
          </cell>
          <cell r="C86">
            <v>22.73</v>
          </cell>
          <cell r="F86">
            <v>8.4629338803557719E-2</v>
          </cell>
        </row>
        <row r="87">
          <cell r="B87">
            <v>1257.5999999999999</v>
          </cell>
          <cell r="C87">
            <v>26.02</v>
          </cell>
          <cell r="F87">
            <v>0.16035334999461354</v>
          </cell>
        </row>
      </sheetData>
      <sheetData sheetId="2">
        <row r="13">
          <cell r="G13">
            <v>3.225E-3</v>
          </cell>
        </row>
        <row r="14">
          <cell r="G14">
            <v>1.7499999999999998E-3</v>
          </cell>
        </row>
        <row r="15">
          <cell r="G15">
            <v>1.7000000000000001E-3</v>
          </cell>
        </row>
        <row r="16">
          <cell r="G16">
            <v>3.0250000000000003E-3</v>
          </cell>
        </row>
        <row r="17">
          <cell r="G17">
            <v>7.7499999999999997E-4</v>
          </cell>
        </row>
        <row r="18">
          <cell r="G18">
            <v>3.7500000000000006E-4</v>
          </cell>
        </row>
        <row r="19">
          <cell r="G19">
            <v>2.5000000000000001E-4</v>
          </cell>
        </row>
        <row r="20">
          <cell r="G20">
            <v>8.2499999999999989E-4</v>
          </cell>
        </row>
        <row r="21">
          <cell r="G21">
            <v>3.3750000000000004E-3</v>
          </cell>
        </row>
        <row r="22">
          <cell r="G22">
            <v>3.8E-3</v>
          </cell>
        </row>
        <row r="23">
          <cell r="G23">
            <v>3.8E-3</v>
          </cell>
        </row>
        <row r="24">
          <cell r="G24">
            <v>3.8E-3</v>
          </cell>
        </row>
        <row r="25">
          <cell r="G25">
            <v>3.8E-3</v>
          </cell>
        </row>
        <row r="26">
          <cell r="G26">
            <v>5.6750000000000004E-3</v>
          </cell>
        </row>
        <row r="27">
          <cell r="G27">
            <v>1.0225E-2</v>
          </cell>
        </row>
        <row r="28">
          <cell r="G28">
            <v>1.1025E-2</v>
          </cell>
        </row>
        <row r="29">
          <cell r="G29">
            <v>1.1724999999999999E-2</v>
          </cell>
        </row>
        <row r="30">
          <cell r="G30">
            <v>1.4775E-2</v>
          </cell>
        </row>
        <row r="31">
          <cell r="G31">
            <v>1.6725E-2</v>
          </cell>
        </row>
        <row r="32">
          <cell r="G32">
            <v>1.8925000000000001E-2</v>
          </cell>
        </row>
        <row r="33">
          <cell r="G33">
            <v>9.6249999999999999E-3</v>
          </cell>
        </row>
        <row r="34">
          <cell r="G34">
            <v>1.66E-2</v>
          </cell>
        </row>
        <row r="35">
          <cell r="G35">
            <v>2.5550000000000003E-2</v>
          </cell>
        </row>
        <row r="36">
          <cell r="G36">
            <v>3.2300000000000002E-2</v>
          </cell>
        </row>
        <row r="37">
          <cell r="G37">
            <v>1.7774999999999999E-2</v>
          </cell>
        </row>
        <row r="38">
          <cell r="G38">
            <v>3.2549999999999996E-2</v>
          </cell>
        </row>
        <row r="39">
          <cell r="G39">
            <v>3.0449999999999998E-2</v>
          </cell>
        </row>
        <row r="40">
          <cell r="G40">
            <v>2.2675000000000001E-2</v>
          </cell>
        </row>
        <row r="41">
          <cell r="G41">
            <v>2.7775000000000005E-2</v>
          </cell>
        </row>
        <row r="42">
          <cell r="G42">
            <v>3.1100000000000003E-2</v>
          </cell>
        </row>
        <row r="43">
          <cell r="G43">
            <v>3.5049999999999998E-2</v>
          </cell>
        </row>
        <row r="44">
          <cell r="G44">
            <v>3.9024999999999997E-2</v>
          </cell>
        </row>
        <row r="45">
          <cell r="G45">
            <v>4.8399999999999999E-2</v>
          </cell>
        </row>
        <row r="46">
          <cell r="G46">
            <v>4.3324999999999995E-2</v>
          </cell>
        </row>
        <row r="47">
          <cell r="G47">
            <v>5.2600000000000001E-2</v>
          </cell>
        </row>
        <row r="48">
          <cell r="G48">
            <v>6.5625000000000003E-2</v>
          </cell>
        </row>
        <row r="49">
          <cell r="G49">
            <v>6.6849999999999993E-2</v>
          </cell>
        </row>
        <row r="50">
          <cell r="G50">
            <v>4.5400000000000003E-2</v>
          </cell>
        </row>
        <row r="51">
          <cell r="G51">
            <v>3.9525000000000005E-2</v>
          </cell>
        </row>
        <row r="52">
          <cell r="G52">
            <v>6.724999999999999E-2</v>
          </cell>
        </row>
        <row r="53">
          <cell r="G53">
            <v>7.7775000000000011E-2</v>
          </cell>
        </row>
        <row r="54">
          <cell r="G54">
            <v>5.9900000000000002E-2</v>
          </cell>
        </row>
        <row r="55">
          <cell r="G55">
            <v>4.9700000000000008E-2</v>
          </cell>
        </row>
        <row r="56">
          <cell r="G56">
            <v>5.1275000000000001E-2</v>
          </cell>
        </row>
        <row r="57">
          <cell r="G57">
            <v>6.9325000000000012E-2</v>
          </cell>
        </row>
        <row r="58">
          <cell r="G58">
            <v>9.9375000000000005E-2</v>
          </cell>
        </row>
        <row r="59">
          <cell r="G59">
            <v>0.11219999999999999</v>
          </cell>
        </row>
        <row r="60">
          <cell r="G60">
            <v>0.14299999999999999</v>
          </cell>
        </row>
        <row r="61">
          <cell r="G61">
            <v>0.1101</v>
          </cell>
        </row>
        <row r="62">
          <cell r="G62">
            <v>8.4474999999999995E-2</v>
          </cell>
        </row>
        <row r="63">
          <cell r="G63">
            <v>9.6125000000000002E-2</v>
          </cell>
        </row>
        <row r="64">
          <cell r="G64">
            <v>7.4874999999999997E-2</v>
          </cell>
        </row>
        <row r="65">
          <cell r="G65">
            <v>6.0350000000000001E-2</v>
          </cell>
        </row>
        <row r="66">
          <cell r="G66">
            <v>5.7224999999999998E-2</v>
          </cell>
        </row>
        <row r="67">
          <cell r="G67">
            <v>6.4499999999999988E-2</v>
          </cell>
        </row>
        <row r="68">
          <cell r="G68">
            <v>8.1099999999999992E-2</v>
          </cell>
        </row>
        <row r="69">
          <cell r="G69">
            <v>7.5500000000000012E-2</v>
          </cell>
        </row>
        <row r="70">
          <cell r="G70">
            <v>5.6100000000000011E-2</v>
          </cell>
        </row>
        <row r="71">
          <cell r="G71">
            <v>3.4049999999999997E-2</v>
          </cell>
        </row>
        <row r="72">
          <cell r="G72">
            <v>2.9825000000000001E-2</v>
          </cell>
        </row>
        <row r="73">
          <cell r="G73">
            <v>3.9850000000000003E-2</v>
          </cell>
        </row>
        <row r="74">
          <cell r="G74">
            <v>5.5150000000000005E-2</v>
          </cell>
        </row>
        <row r="75">
          <cell r="G75">
            <v>5.0224999999999999E-2</v>
          </cell>
        </row>
        <row r="76">
          <cell r="G76">
            <v>5.0525E-2</v>
          </cell>
        </row>
        <row r="77">
          <cell r="G77">
            <v>4.7274999999999998E-2</v>
          </cell>
        </row>
        <row r="78">
          <cell r="G78">
            <v>4.5100000000000001E-2</v>
          </cell>
        </row>
        <row r="79">
          <cell r="G79">
            <v>5.7625000000000003E-2</v>
          </cell>
        </row>
        <row r="80">
          <cell r="G80">
            <v>3.6725000000000001E-2</v>
          </cell>
        </row>
        <row r="81">
          <cell r="G81">
            <v>1.6574999999999999E-2</v>
          </cell>
        </row>
        <row r="82">
          <cell r="G82">
            <v>1.03E-2</v>
          </cell>
        </row>
        <row r="83">
          <cell r="G83">
            <v>1.2275000000000001E-2</v>
          </cell>
        </row>
        <row r="84">
          <cell r="G84">
            <v>3.0099999999999998E-2</v>
          </cell>
        </row>
        <row r="85">
          <cell r="G85">
            <v>4.6775000000000004E-2</v>
          </cell>
        </row>
        <row r="86">
          <cell r="G86">
            <v>4.6425000000000001E-2</v>
          </cell>
        </row>
        <row r="87">
          <cell r="G87">
            <v>1.585E-2</v>
          </cell>
        </row>
        <row r="88">
          <cell r="G88">
            <v>1.3500000000000001E-3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javascript:Redireccionar(20512631461,'COMPA&#241;IA%20DESTILADORA%20DEL%20PERU%20S.R.L.');" TargetMode="External"/><Relationship Id="rId13" Type="http://schemas.openxmlformats.org/officeDocument/2006/relationships/control" Target="../activeX/activeX2.xml"/><Relationship Id="rId3" Type="http://schemas.openxmlformats.org/officeDocument/2006/relationships/hyperlink" Target="javascript:Redireccionar(20216789611,'VINA%20TACAMA%20S.A');" TargetMode="External"/><Relationship Id="rId7" Type="http://schemas.openxmlformats.org/officeDocument/2006/relationships/hyperlink" Target="javascript:Redireccionar(20509175927,'PURO%20PERU%20S.A.C.');" TargetMode="External"/><Relationship Id="rId12" Type="http://schemas.openxmlformats.org/officeDocument/2006/relationships/control" Target="../activeX/activeX1.xml"/><Relationship Id="rId17" Type="http://schemas.openxmlformats.org/officeDocument/2006/relationships/control" Target="../activeX/activeX6.xml"/><Relationship Id="rId2" Type="http://schemas.openxmlformats.org/officeDocument/2006/relationships/hyperlink" Target="javascript:Redireccionar(20503644968,'BODEGA%20SAN%20ISIDRO%20SOCIEDAD%20ANONIMA%20CERRADA');" TargetMode="External"/><Relationship Id="rId16" Type="http://schemas.openxmlformats.org/officeDocument/2006/relationships/control" Target="../activeX/activeX5.xml"/><Relationship Id="rId1" Type="http://schemas.openxmlformats.org/officeDocument/2006/relationships/hyperlink" Target="javascript:Redireccionar(20524386241,'DESTILERIA%20LA%20CARAVEDO%20S.A.C');" TargetMode="External"/><Relationship Id="rId6" Type="http://schemas.openxmlformats.org/officeDocument/2006/relationships/hyperlink" Target="javascript:Redireccionar(20100048371,'VI&#209;A%20OCUCAJE%20S%20A');" TargetMode="External"/><Relationship Id="rId11" Type="http://schemas.openxmlformats.org/officeDocument/2006/relationships/vmlDrawing" Target="../drawings/vmlDrawing2.vml"/><Relationship Id="rId5" Type="http://schemas.openxmlformats.org/officeDocument/2006/relationships/hyperlink" Target="javascript:Redireccionar(20107198106,'BODEGAS%20VI&#241;AS%20DE%20ORO%20S.A.');" TargetMode="External"/><Relationship Id="rId15" Type="http://schemas.openxmlformats.org/officeDocument/2006/relationships/control" Target="../activeX/activeX4.xml"/><Relationship Id="rId10" Type="http://schemas.openxmlformats.org/officeDocument/2006/relationships/printerSettings" Target="../printerSettings/printerSettings5.bin"/><Relationship Id="rId4" Type="http://schemas.openxmlformats.org/officeDocument/2006/relationships/hyperlink" Target="javascript:Redireccionar(20100097746,'SANTIAGO%20QUEIROLO%20S.A.C.');" TargetMode="External"/><Relationship Id="rId9" Type="http://schemas.openxmlformats.org/officeDocument/2006/relationships/hyperlink" Target="javascript:Redireccionar(20516046105,'AGROINDUSTRIAS%20LS%20S.A.%20-%20AGRILLSA.');" TargetMode="External"/><Relationship Id="rId14" Type="http://schemas.openxmlformats.org/officeDocument/2006/relationships/control" Target="../activeX/activeX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elcomercio.pe/economia/1392935/noticia-peru-tendra-inflacion-mas-baja-region-2012-2013-estiman" TargetMode="External"/><Relationship Id="rId2" Type="http://schemas.openxmlformats.org/officeDocument/2006/relationships/hyperlink" Target="http://www.irs.gov/pub/irs-pdf/i1120.pdf" TargetMode="External"/><Relationship Id="rId1" Type="http://schemas.openxmlformats.org/officeDocument/2006/relationships/hyperlink" Target="http://es.global-rates.com/estadisticas-economicas/inflacion/inflacion.aspx" TargetMode="External"/><Relationship Id="rId4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irs.gov/pub/irs-pdf/i1120.pdf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www.bcrp.gob.pe/docs/Estadisticas/Cuadros-Estadisticos/NC_037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318"/>
  <sheetViews>
    <sheetView showGridLines="0" tabSelected="1" zoomScale="90" zoomScaleNormal="90" workbookViewId="0"/>
  </sheetViews>
  <sheetFormatPr baseColWidth="10" defaultRowHeight="15"/>
  <cols>
    <col min="1" max="1" width="13.28515625" bestFit="1" customWidth="1"/>
    <col min="2" max="2" width="38.85546875" customWidth="1"/>
    <col min="3" max="14" width="14.7109375" customWidth="1"/>
    <col min="15" max="15" width="16" bestFit="1" customWidth="1"/>
    <col min="16" max="16" width="12.5703125" hidden="1" customWidth="1"/>
    <col min="17" max="17" width="14.7109375" hidden="1" customWidth="1"/>
    <col min="18" max="41" width="0" hidden="1" customWidth="1"/>
  </cols>
  <sheetData>
    <row r="2" spans="1:14" ht="21">
      <c r="B2" s="169" t="s">
        <v>571</v>
      </c>
    </row>
    <row r="4" spans="1:14" ht="15.75">
      <c r="B4" s="1" t="s">
        <v>0</v>
      </c>
    </row>
    <row r="6" spans="1:14" ht="15.75">
      <c r="A6" s="2" t="s">
        <v>1</v>
      </c>
      <c r="B6" s="3" t="s">
        <v>2</v>
      </c>
    </row>
    <row r="7" spans="1:14" hidden="1"/>
    <row r="8" spans="1:14" hidden="1">
      <c r="A8" s="4" t="s">
        <v>3</v>
      </c>
      <c r="B8" s="5" t="s">
        <v>4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ht="15.75" hidden="1" customHeight="1">
      <c r="A9" s="4"/>
    </row>
    <row r="10" spans="1:14" hidden="1">
      <c r="A10" s="4"/>
      <c r="B10" s="7"/>
      <c r="C10" s="8" t="s">
        <v>5</v>
      </c>
      <c r="D10" s="8" t="s">
        <v>6</v>
      </c>
      <c r="E10" s="8" t="s">
        <v>7</v>
      </c>
      <c r="F10" s="8" t="s">
        <v>8</v>
      </c>
      <c r="G10" s="8" t="s">
        <v>9</v>
      </c>
      <c r="H10" s="8" t="s">
        <v>10</v>
      </c>
      <c r="I10" s="8" t="s">
        <v>11</v>
      </c>
      <c r="J10" s="8" t="s">
        <v>12</v>
      </c>
      <c r="K10" s="8" t="s">
        <v>13</v>
      </c>
      <c r="L10" s="8" t="s">
        <v>14</v>
      </c>
      <c r="M10" s="8" t="s">
        <v>15</v>
      </c>
      <c r="N10" s="8" t="s">
        <v>16</v>
      </c>
    </row>
    <row r="11" spans="1:14" hidden="1">
      <c r="A11" s="4"/>
      <c r="B11" s="9" t="s">
        <v>17</v>
      </c>
      <c r="C11" s="10">
        <f>'[1]Plan de compensación'!C46</f>
        <v>5</v>
      </c>
      <c r="D11" s="10">
        <f t="shared" ref="D11:N11" si="0">C11</f>
        <v>5</v>
      </c>
      <c r="E11" s="10">
        <f t="shared" si="0"/>
        <v>5</v>
      </c>
      <c r="F11" s="10">
        <f t="shared" si="0"/>
        <v>5</v>
      </c>
      <c r="G11" s="10">
        <f t="shared" si="0"/>
        <v>5</v>
      </c>
      <c r="H11" s="10">
        <f t="shared" si="0"/>
        <v>5</v>
      </c>
      <c r="I11" s="10">
        <f t="shared" si="0"/>
        <v>5</v>
      </c>
      <c r="J11" s="10">
        <f t="shared" si="0"/>
        <v>5</v>
      </c>
      <c r="K11" s="10">
        <f t="shared" si="0"/>
        <v>5</v>
      </c>
      <c r="L11" s="10">
        <f t="shared" si="0"/>
        <v>5</v>
      </c>
      <c r="M11" s="10">
        <f t="shared" si="0"/>
        <v>5</v>
      </c>
      <c r="N11" s="10">
        <f t="shared" si="0"/>
        <v>5</v>
      </c>
    </row>
    <row r="12" spans="1:14" hidden="1">
      <c r="A12" s="4"/>
      <c r="B12" s="11" t="s">
        <v>18</v>
      </c>
      <c r="C12" s="12">
        <f t="shared" ref="C12:N12" si="1">SUM(C11:C11)</f>
        <v>5</v>
      </c>
      <c r="D12" s="12">
        <f t="shared" si="1"/>
        <v>5</v>
      </c>
      <c r="E12" s="12">
        <f t="shared" si="1"/>
        <v>5</v>
      </c>
      <c r="F12" s="12">
        <f t="shared" si="1"/>
        <v>5</v>
      </c>
      <c r="G12" s="12">
        <f t="shared" si="1"/>
        <v>5</v>
      </c>
      <c r="H12" s="12">
        <f t="shared" si="1"/>
        <v>5</v>
      </c>
      <c r="I12" s="12">
        <f t="shared" si="1"/>
        <v>5</v>
      </c>
      <c r="J12" s="12">
        <f t="shared" si="1"/>
        <v>5</v>
      </c>
      <c r="K12" s="12">
        <f t="shared" si="1"/>
        <v>5</v>
      </c>
      <c r="L12" s="12">
        <f t="shared" si="1"/>
        <v>5</v>
      </c>
      <c r="M12" s="12">
        <f t="shared" si="1"/>
        <v>5</v>
      </c>
      <c r="N12" s="12">
        <f t="shared" si="1"/>
        <v>5</v>
      </c>
    </row>
    <row r="13" spans="1:14" hidden="1">
      <c r="A13" s="4"/>
    </row>
    <row r="14" spans="1:14" hidden="1">
      <c r="A14" s="4" t="s">
        <v>19</v>
      </c>
      <c r="B14" s="5" t="s">
        <v>20</v>
      </c>
    </row>
    <row r="15" spans="1:14" hidden="1">
      <c r="A15" s="4"/>
      <c r="B15" s="5"/>
    </row>
    <row r="16" spans="1:14" hidden="1">
      <c r="A16" s="4"/>
      <c r="B16" s="5" t="s">
        <v>21</v>
      </c>
    </row>
    <row r="17" spans="1:17" hidden="1">
      <c r="A17" s="4"/>
      <c r="B17" s="13" t="s">
        <v>22</v>
      </c>
      <c r="C17" s="14"/>
      <c r="D17" s="15">
        <v>0.01</v>
      </c>
      <c r="E17" s="15">
        <v>0.01</v>
      </c>
      <c r="F17" s="15">
        <v>0.01</v>
      </c>
      <c r="G17" s="15">
        <v>0.01</v>
      </c>
      <c r="H17" s="15">
        <v>0.01</v>
      </c>
      <c r="I17" s="15">
        <v>0.01</v>
      </c>
      <c r="J17" s="15">
        <v>0.01</v>
      </c>
      <c r="K17" s="15">
        <v>0.01</v>
      </c>
      <c r="L17" s="15">
        <v>0.01</v>
      </c>
      <c r="M17" s="15">
        <v>0.01</v>
      </c>
      <c r="N17" s="15">
        <v>0.01</v>
      </c>
    </row>
    <row r="18" spans="1:17" hidden="1">
      <c r="A18" s="4"/>
      <c r="B18" s="7"/>
      <c r="C18" s="8" t="s">
        <v>5</v>
      </c>
      <c r="D18" s="8" t="s">
        <v>6</v>
      </c>
      <c r="E18" s="8" t="s">
        <v>7</v>
      </c>
      <c r="F18" s="8" t="s">
        <v>8</v>
      </c>
      <c r="G18" s="8" t="s">
        <v>9</v>
      </c>
      <c r="H18" s="8" t="s">
        <v>10</v>
      </c>
      <c r="I18" s="8" t="s">
        <v>11</v>
      </c>
      <c r="J18" s="8" t="s">
        <v>12</v>
      </c>
      <c r="K18" s="8" t="s">
        <v>13</v>
      </c>
      <c r="L18" s="8" t="s">
        <v>14</v>
      </c>
      <c r="M18" s="8" t="s">
        <v>15</v>
      </c>
      <c r="N18" s="8" t="s">
        <v>16</v>
      </c>
      <c r="O18" s="8" t="s">
        <v>18</v>
      </c>
    </row>
    <row r="19" spans="1:17" hidden="1">
      <c r="A19" s="4"/>
      <c r="B19" s="9" t="s">
        <v>23</v>
      </c>
      <c r="C19" s="16">
        <v>28</v>
      </c>
      <c r="D19" s="17">
        <f t="shared" ref="D19:N19" si="2">ROUNDUP(C19*(1+D23),0)</f>
        <v>29</v>
      </c>
      <c r="E19" s="17">
        <f t="shared" si="2"/>
        <v>30</v>
      </c>
      <c r="F19" s="17">
        <f t="shared" si="2"/>
        <v>31</v>
      </c>
      <c r="G19" s="17">
        <f t="shared" si="2"/>
        <v>32</v>
      </c>
      <c r="H19" s="17">
        <f t="shared" si="2"/>
        <v>33</v>
      </c>
      <c r="I19" s="17">
        <f t="shared" si="2"/>
        <v>34</v>
      </c>
      <c r="J19" s="17">
        <f t="shared" si="2"/>
        <v>35</v>
      </c>
      <c r="K19" s="17">
        <f t="shared" si="2"/>
        <v>36</v>
      </c>
      <c r="L19" s="17">
        <f t="shared" si="2"/>
        <v>37</v>
      </c>
      <c r="M19" s="17">
        <f t="shared" si="2"/>
        <v>38</v>
      </c>
      <c r="N19" s="17">
        <f t="shared" si="2"/>
        <v>39</v>
      </c>
      <c r="O19" s="18">
        <f>SUM(C19:N19)</f>
        <v>402</v>
      </c>
      <c r="Q19" s="19"/>
    </row>
    <row r="20" spans="1:17" hidden="1">
      <c r="A20" s="20">
        <v>12</v>
      </c>
      <c r="B20" s="9" t="s">
        <v>24</v>
      </c>
      <c r="C20" s="17">
        <f>C19*$A$20</f>
        <v>336</v>
      </c>
      <c r="D20" s="17">
        <f t="shared" ref="D20:N20" si="3">D19*$A$20</f>
        <v>348</v>
      </c>
      <c r="E20" s="17">
        <f t="shared" si="3"/>
        <v>360</v>
      </c>
      <c r="F20" s="17">
        <f t="shared" si="3"/>
        <v>372</v>
      </c>
      <c r="G20" s="17">
        <f t="shared" si="3"/>
        <v>384</v>
      </c>
      <c r="H20" s="17">
        <f t="shared" si="3"/>
        <v>396</v>
      </c>
      <c r="I20" s="17">
        <f t="shared" si="3"/>
        <v>408</v>
      </c>
      <c r="J20" s="17">
        <f t="shared" si="3"/>
        <v>420</v>
      </c>
      <c r="K20" s="17">
        <f t="shared" si="3"/>
        <v>432</v>
      </c>
      <c r="L20" s="17">
        <f t="shared" si="3"/>
        <v>444</v>
      </c>
      <c r="M20" s="17">
        <f t="shared" si="3"/>
        <v>456</v>
      </c>
      <c r="N20" s="17">
        <f t="shared" si="3"/>
        <v>468</v>
      </c>
      <c r="O20" s="18">
        <f t="shared" ref="O20" si="4">SUM(C20:N20)</f>
        <v>4824</v>
      </c>
    </row>
    <row r="21" spans="1:17" hidden="1">
      <c r="A21" s="4"/>
      <c r="B21" s="5"/>
    </row>
    <row r="22" spans="1:17" hidden="1">
      <c r="A22" s="4"/>
      <c r="B22" s="5" t="s">
        <v>25</v>
      </c>
    </row>
    <row r="23" spans="1:17" hidden="1">
      <c r="A23" s="4"/>
      <c r="B23" s="13" t="s">
        <v>22</v>
      </c>
      <c r="C23" s="14"/>
      <c r="D23" s="15">
        <f>D17</f>
        <v>0.01</v>
      </c>
      <c r="E23" s="15">
        <f t="shared" ref="E23:N23" si="5">E17</f>
        <v>0.01</v>
      </c>
      <c r="F23" s="15">
        <f t="shared" si="5"/>
        <v>0.01</v>
      </c>
      <c r="G23" s="15">
        <f t="shared" si="5"/>
        <v>0.01</v>
      </c>
      <c r="H23" s="15">
        <f t="shared" si="5"/>
        <v>0.01</v>
      </c>
      <c r="I23" s="15">
        <f t="shared" si="5"/>
        <v>0.01</v>
      </c>
      <c r="J23" s="15">
        <f t="shared" si="5"/>
        <v>0.01</v>
      </c>
      <c r="K23" s="15">
        <f t="shared" si="5"/>
        <v>0.01</v>
      </c>
      <c r="L23" s="15">
        <f t="shared" si="5"/>
        <v>0.01</v>
      </c>
      <c r="M23" s="15">
        <f t="shared" si="5"/>
        <v>0.01</v>
      </c>
      <c r="N23" s="15">
        <f t="shared" si="5"/>
        <v>0.01</v>
      </c>
    </row>
    <row r="24" spans="1:17" hidden="1">
      <c r="A24" s="4"/>
      <c r="B24" s="7"/>
      <c r="C24" s="8" t="s">
        <v>5</v>
      </c>
      <c r="D24" s="8" t="s">
        <v>6</v>
      </c>
      <c r="E24" s="8" t="s">
        <v>7</v>
      </c>
      <c r="F24" s="8" t="s">
        <v>8</v>
      </c>
      <c r="G24" s="8" t="s">
        <v>9</v>
      </c>
      <c r="H24" s="8" t="s">
        <v>10</v>
      </c>
      <c r="I24" s="8" t="s">
        <v>11</v>
      </c>
      <c r="J24" s="8" t="s">
        <v>12</v>
      </c>
      <c r="K24" s="8" t="s">
        <v>13</v>
      </c>
      <c r="L24" s="8" t="s">
        <v>14</v>
      </c>
      <c r="M24" s="8" t="s">
        <v>15</v>
      </c>
      <c r="N24" s="8" t="s">
        <v>16</v>
      </c>
      <c r="O24" s="8" t="s">
        <v>18</v>
      </c>
    </row>
    <row r="25" spans="1:17" hidden="1">
      <c r="A25" s="4"/>
      <c r="B25" s="9" t="s">
        <v>23</v>
      </c>
      <c r="C25" s="21">
        <f>C19</f>
        <v>28</v>
      </c>
      <c r="D25" s="17">
        <f>ROUNDUP(C25*(1+D23),0)</f>
        <v>29</v>
      </c>
      <c r="E25" s="17">
        <f t="shared" ref="E25:N25" si="6">ROUNDUP(D25*(1+E23),0)</f>
        <v>30</v>
      </c>
      <c r="F25" s="17">
        <f t="shared" si="6"/>
        <v>31</v>
      </c>
      <c r="G25" s="17">
        <f t="shared" si="6"/>
        <v>32</v>
      </c>
      <c r="H25" s="17">
        <f t="shared" si="6"/>
        <v>33</v>
      </c>
      <c r="I25" s="17">
        <f t="shared" si="6"/>
        <v>34</v>
      </c>
      <c r="J25" s="17">
        <f t="shared" si="6"/>
        <v>35</v>
      </c>
      <c r="K25" s="17">
        <f t="shared" si="6"/>
        <v>36</v>
      </c>
      <c r="L25" s="17">
        <f t="shared" si="6"/>
        <v>37</v>
      </c>
      <c r="M25" s="17">
        <f t="shared" si="6"/>
        <v>38</v>
      </c>
      <c r="N25" s="17">
        <f t="shared" si="6"/>
        <v>39</v>
      </c>
      <c r="O25" s="18">
        <f>SUM(C25:N25)</f>
        <v>402</v>
      </c>
      <c r="Q25" s="19"/>
    </row>
    <row r="26" spans="1:17" hidden="1">
      <c r="A26" s="4">
        <f>A20</f>
        <v>12</v>
      </c>
      <c r="B26" s="9" t="s">
        <v>24</v>
      </c>
      <c r="C26" s="17">
        <f>C25*$A$26</f>
        <v>336</v>
      </c>
      <c r="D26" s="17">
        <f t="shared" ref="D26:N26" si="7">D25*$A$26</f>
        <v>348</v>
      </c>
      <c r="E26" s="17">
        <f t="shared" si="7"/>
        <v>360</v>
      </c>
      <c r="F26" s="17">
        <f t="shared" si="7"/>
        <v>372</v>
      </c>
      <c r="G26" s="17">
        <f t="shared" si="7"/>
        <v>384</v>
      </c>
      <c r="H26" s="17">
        <f t="shared" si="7"/>
        <v>396</v>
      </c>
      <c r="I26" s="17">
        <f t="shared" si="7"/>
        <v>408</v>
      </c>
      <c r="J26" s="17">
        <f t="shared" si="7"/>
        <v>420</v>
      </c>
      <c r="K26" s="17">
        <f t="shared" si="7"/>
        <v>432</v>
      </c>
      <c r="L26" s="17">
        <f t="shared" si="7"/>
        <v>444</v>
      </c>
      <c r="M26" s="17">
        <f t="shared" si="7"/>
        <v>456</v>
      </c>
      <c r="N26" s="17">
        <f t="shared" si="7"/>
        <v>468</v>
      </c>
      <c r="O26" s="18">
        <f t="shared" ref="O26" si="8">SUM(C26:N26)</f>
        <v>4824</v>
      </c>
    </row>
    <row r="27" spans="1:17" s="26" customFormat="1" hidden="1">
      <c r="A27" s="22"/>
      <c r="B27" s="23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5"/>
      <c r="P27" s="24"/>
    </row>
    <row r="28" spans="1:17" hidden="1">
      <c r="A28" s="4" t="s">
        <v>26</v>
      </c>
      <c r="B28" s="5" t="s">
        <v>27</v>
      </c>
    </row>
    <row r="29" spans="1:17" hidden="1">
      <c r="A29" s="4"/>
      <c r="B29" s="5"/>
    </row>
    <row r="30" spans="1:17">
      <c r="A30" s="4"/>
      <c r="B30" s="5"/>
    </row>
    <row r="31" spans="1:17">
      <c r="A31" s="4"/>
      <c r="B31" s="5" t="s">
        <v>28</v>
      </c>
    </row>
    <row r="32" spans="1:17" s="65" customFormat="1">
      <c r="A32" s="61"/>
      <c r="B32" s="62" t="s">
        <v>22</v>
      </c>
      <c r="C32" s="63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</row>
    <row r="33" spans="1:17">
      <c r="A33" s="4"/>
      <c r="B33" s="7"/>
      <c r="C33" s="8" t="s">
        <v>5</v>
      </c>
      <c r="D33" s="8" t="s">
        <v>6</v>
      </c>
      <c r="E33" s="8" t="s">
        <v>7</v>
      </c>
      <c r="F33" s="8" t="s">
        <v>8</v>
      </c>
      <c r="G33" s="8" t="s">
        <v>9</v>
      </c>
      <c r="H33" s="8" t="s">
        <v>10</v>
      </c>
      <c r="I33" s="8" t="s">
        <v>11</v>
      </c>
      <c r="J33" s="8" t="s">
        <v>12</v>
      </c>
      <c r="K33" s="8" t="s">
        <v>13</v>
      </c>
      <c r="L33" s="8" t="s">
        <v>14</v>
      </c>
      <c r="M33" s="8" t="s">
        <v>15</v>
      </c>
      <c r="N33" s="8" t="s">
        <v>16</v>
      </c>
      <c r="O33" s="8" t="s">
        <v>18</v>
      </c>
    </row>
    <row r="34" spans="1:17">
      <c r="A34" s="4"/>
      <c r="B34" s="9" t="s">
        <v>29</v>
      </c>
      <c r="C34" s="28">
        <f>C19*C11</f>
        <v>140</v>
      </c>
      <c r="D34" s="28">
        <f t="shared" ref="D34:N34" si="9">D19*D11</f>
        <v>145</v>
      </c>
      <c r="E34" s="28">
        <f t="shared" si="9"/>
        <v>150</v>
      </c>
      <c r="F34" s="28">
        <f t="shared" si="9"/>
        <v>155</v>
      </c>
      <c r="G34" s="28">
        <f t="shared" si="9"/>
        <v>160</v>
      </c>
      <c r="H34" s="28">
        <f t="shared" si="9"/>
        <v>165</v>
      </c>
      <c r="I34" s="28">
        <f t="shared" si="9"/>
        <v>170</v>
      </c>
      <c r="J34" s="28">
        <f t="shared" si="9"/>
        <v>175</v>
      </c>
      <c r="K34" s="28">
        <f t="shared" si="9"/>
        <v>180</v>
      </c>
      <c r="L34" s="28">
        <f t="shared" si="9"/>
        <v>185</v>
      </c>
      <c r="M34" s="28">
        <f t="shared" si="9"/>
        <v>190</v>
      </c>
      <c r="N34" s="28">
        <f t="shared" si="9"/>
        <v>195</v>
      </c>
      <c r="O34" s="18">
        <f>SUM(C34:N34)</f>
        <v>2010</v>
      </c>
      <c r="Q34" s="19"/>
    </row>
    <row r="35" spans="1:17">
      <c r="A35" s="61">
        <v>12</v>
      </c>
      <c r="B35" s="9" t="s">
        <v>30</v>
      </c>
      <c r="C35" s="17">
        <f>C34*$A$35</f>
        <v>1680</v>
      </c>
      <c r="D35" s="17">
        <f t="shared" ref="D35:N35" si="10">D34*$A$35</f>
        <v>1740</v>
      </c>
      <c r="E35" s="17">
        <f t="shared" si="10"/>
        <v>1800</v>
      </c>
      <c r="F35" s="17">
        <f t="shared" si="10"/>
        <v>1860</v>
      </c>
      <c r="G35" s="17">
        <f t="shared" si="10"/>
        <v>1920</v>
      </c>
      <c r="H35" s="17">
        <f t="shared" si="10"/>
        <v>1980</v>
      </c>
      <c r="I35" s="17">
        <f t="shared" si="10"/>
        <v>2040</v>
      </c>
      <c r="J35" s="17">
        <f t="shared" si="10"/>
        <v>2100</v>
      </c>
      <c r="K35" s="17">
        <f t="shared" si="10"/>
        <v>2160</v>
      </c>
      <c r="L35" s="17">
        <f t="shared" si="10"/>
        <v>2220</v>
      </c>
      <c r="M35" s="17">
        <f t="shared" si="10"/>
        <v>2280</v>
      </c>
      <c r="N35" s="17">
        <f t="shared" si="10"/>
        <v>2340</v>
      </c>
      <c r="O35" s="18">
        <f t="shared" ref="O35" si="11">SUM(C35:N35)</f>
        <v>24120</v>
      </c>
    </row>
    <row r="36" spans="1:17">
      <c r="A36" s="4"/>
      <c r="B36" s="5"/>
    </row>
    <row r="37" spans="1:17">
      <c r="A37" s="4"/>
      <c r="B37" s="5" t="s">
        <v>31</v>
      </c>
    </row>
    <row r="38" spans="1:17" s="65" customFormat="1">
      <c r="A38" s="61"/>
      <c r="B38" s="62" t="s">
        <v>22</v>
      </c>
      <c r="C38" s="63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</row>
    <row r="39" spans="1:17">
      <c r="A39" s="4"/>
      <c r="B39" s="7"/>
      <c r="C39" s="8" t="s">
        <v>5</v>
      </c>
      <c r="D39" s="8" t="s">
        <v>6</v>
      </c>
      <c r="E39" s="8" t="s">
        <v>7</v>
      </c>
      <c r="F39" s="8" t="s">
        <v>8</v>
      </c>
      <c r="G39" s="8" t="s">
        <v>9</v>
      </c>
      <c r="H39" s="8" t="s">
        <v>10</v>
      </c>
      <c r="I39" s="8" t="s">
        <v>11</v>
      </c>
      <c r="J39" s="8" t="s">
        <v>12</v>
      </c>
      <c r="K39" s="8" t="s">
        <v>13</v>
      </c>
      <c r="L39" s="8" t="s">
        <v>14</v>
      </c>
      <c r="M39" s="8" t="s">
        <v>15</v>
      </c>
      <c r="N39" s="8" t="s">
        <v>16</v>
      </c>
      <c r="O39" s="8" t="s">
        <v>18</v>
      </c>
    </row>
    <row r="40" spans="1:17">
      <c r="A40" s="58"/>
      <c r="B40" s="9" t="s">
        <v>29</v>
      </c>
      <c r="C40" s="28">
        <f t="shared" ref="C40:N40" si="12">C25*C11</f>
        <v>140</v>
      </c>
      <c r="D40" s="28">
        <f t="shared" si="12"/>
        <v>145</v>
      </c>
      <c r="E40" s="28">
        <f t="shared" si="12"/>
        <v>150</v>
      </c>
      <c r="F40" s="28">
        <f t="shared" si="12"/>
        <v>155</v>
      </c>
      <c r="G40" s="28">
        <f t="shared" si="12"/>
        <v>160</v>
      </c>
      <c r="H40" s="28">
        <f t="shared" si="12"/>
        <v>165</v>
      </c>
      <c r="I40" s="28">
        <f t="shared" si="12"/>
        <v>170</v>
      </c>
      <c r="J40" s="28">
        <f t="shared" si="12"/>
        <v>175</v>
      </c>
      <c r="K40" s="28">
        <f t="shared" si="12"/>
        <v>180</v>
      </c>
      <c r="L40" s="28">
        <f t="shared" si="12"/>
        <v>185</v>
      </c>
      <c r="M40" s="28">
        <f t="shared" si="12"/>
        <v>190</v>
      </c>
      <c r="N40" s="28">
        <f t="shared" si="12"/>
        <v>195</v>
      </c>
      <c r="O40" s="18">
        <f>SUM(C40:N40)</f>
        <v>2010</v>
      </c>
      <c r="Q40" s="19"/>
    </row>
    <row r="41" spans="1:17">
      <c r="A41" s="58">
        <v>12</v>
      </c>
      <c r="B41" s="9" t="s">
        <v>30</v>
      </c>
      <c r="C41" s="17">
        <f>C40*$A$41</f>
        <v>1680</v>
      </c>
      <c r="D41" s="17">
        <f t="shared" ref="D41:N41" si="13">D40*$A$41</f>
        <v>1740</v>
      </c>
      <c r="E41" s="17">
        <f t="shared" si="13"/>
        <v>1800</v>
      </c>
      <c r="F41" s="17">
        <f t="shared" si="13"/>
        <v>1860</v>
      </c>
      <c r="G41" s="17">
        <f t="shared" si="13"/>
        <v>1920</v>
      </c>
      <c r="H41" s="17">
        <f t="shared" si="13"/>
        <v>1980</v>
      </c>
      <c r="I41" s="17">
        <f t="shared" si="13"/>
        <v>2040</v>
      </c>
      <c r="J41" s="17">
        <f t="shared" si="13"/>
        <v>2100</v>
      </c>
      <c r="K41" s="17">
        <f t="shared" si="13"/>
        <v>2160</v>
      </c>
      <c r="L41" s="17">
        <f t="shared" si="13"/>
        <v>2220</v>
      </c>
      <c r="M41" s="17">
        <f t="shared" si="13"/>
        <v>2280</v>
      </c>
      <c r="N41" s="17">
        <f t="shared" si="13"/>
        <v>2340</v>
      </c>
      <c r="O41" s="18">
        <f t="shared" ref="O41" si="14">SUM(C41:N41)</f>
        <v>24120</v>
      </c>
    </row>
    <row r="42" spans="1:17">
      <c r="A42" s="59"/>
      <c r="B42" s="5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30"/>
      <c r="P42" s="31"/>
    </row>
    <row r="43" spans="1:17">
      <c r="A43" s="58"/>
      <c r="B43" s="5" t="s">
        <v>32</v>
      </c>
    </row>
    <row r="44" spans="1:17" s="65" customFormat="1">
      <c r="A44" s="58"/>
      <c r="B44" s="62" t="s">
        <v>22</v>
      </c>
      <c r="C44" s="63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</row>
    <row r="45" spans="1:17">
      <c r="A45" s="58"/>
      <c r="B45" s="7"/>
      <c r="C45" s="8" t="s">
        <v>5</v>
      </c>
      <c r="D45" s="8" t="s">
        <v>6</v>
      </c>
      <c r="E45" s="8" t="s">
        <v>7</v>
      </c>
      <c r="F45" s="8" t="s">
        <v>8</v>
      </c>
      <c r="G45" s="8" t="s">
        <v>9</v>
      </c>
      <c r="H45" s="8" t="s">
        <v>10</v>
      </c>
      <c r="I45" s="8" t="s">
        <v>11</v>
      </c>
      <c r="J45" s="8" t="s">
        <v>12</v>
      </c>
      <c r="K45" s="8" t="s">
        <v>13</v>
      </c>
      <c r="L45" s="8" t="s">
        <v>14</v>
      </c>
      <c r="M45" s="8" t="s">
        <v>15</v>
      </c>
      <c r="N45" s="8" t="s">
        <v>16</v>
      </c>
      <c r="O45" s="8" t="s">
        <v>18</v>
      </c>
    </row>
    <row r="46" spans="1:17">
      <c r="A46" s="58"/>
      <c r="B46" s="9" t="s">
        <v>29</v>
      </c>
      <c r="C46" s="28">
        <f t="shared" ref="C46:N47" si="15">C34+C40</f>
        <v>280</v>
      </c>
      <c r="D46" s="28">
        <f t="shared" si="15"/>
        <v>290</v>
      </c>
      <c r="E46" s="28">
        <f t="shared" si="15"/>
        <v>300</v>
      </c>
      <c r="F46" s="28">
        <f t="shared" si="15"/>
        <v>310</v>
      </c>
      <c r="G46" s="28">
        <f t="shared" si="15"/>
        <v>320</v>
      </c>
      <c r="H46" s="28">
        <f t="shared" si="15"/>
        <v>330</v>
      </c>
      <c r="I46" s="28">
        <f t="shared" si="15"/>
        <v>340</v>
      </c>
      <c r="J46" s="28">
        <f t="shared" si="15"/>
        <v>350</v>
      </c>
      <c r="K46" s="28">
        <f t="shared" si="15"/>
        <v>360</v>
      </c>
      <c r="L46" s="28">
        <f t="shared" si="15"/>
        <v>370</v>
      </c>
      <c r="M46" s="28">
        <f t="shared" si="15"/>
        <v>380</v>
      </c>
      <c r="N46" s="28">
        <f t="shared" si="15"/>
        <v>390</v>
      </c>
      <c r="O46" s="18">
        <f>SUM(C46:N46)</f>
        <v>4020</v>
      </c>
      <c r="Q46" s="19"/>
    </row>
    <row r="47" spans="1:17">
      <c r="A47" s="58"/>
      <c r="B47" s="9" t="s">
        <v>30</v>
      </c>
      <c r="C47" s="17">
        <f t="shared" si="15"/>
        <v>3360</v>
      </c>
      <c r="D47" s="17">
        <f t="shared" si="15"/>
        <v>3480</v>
      </c>
      <c r="E47" s="17">
        <f t="shared" si="15"/>
        <v>3600</v>
      </c>
      <c r="F47" s="17">
        <f t="shared" si="15"/>
        <v>3720</v>
      </c>
      <c r="G47" s="17">
        <f t="shared" si="15"/>
        <v>3840</v>
      </c>
      <c r="H47" s="17">
        <f t="shared" si="15"/>
        <v>3960</v>
      </c>
      <c r="I47" s="17">
        <f t="shared" si="15"/>
        <v>4080</v>
      </c>
      <c r="J47" s="17">
        <f t="shared" si="15"/>
        <v>4200</v>
      </c>
      <c r="K47" s="17">
        <f t="shared" si="15"/>
        <v>4320</v>
      </c>
      <c r="L47" s="17">
        <f t="shared" si="15"/>
        <v>4440</v>
      </c>
      <c r="M47" s="17">
        <f t="shared" si="15"/>
        <v>4560</v>
      </c>
      <c r="N47" s="17">
        <f t="shared" si="15"/>
        <v>4680</v>
      </c>
      <c r="O47" s="18">
        <f t="shared" ref="O47:O48" si="16">SUM(C47:N47)</f>
        <v>48240</v>
      </c>
      <c r="Q47" s="32">
        <f>+O47*N52</f>
        <v>1320340.0423728812</v>
      </c>
    </row>
    <row r="48" spans="1:17">
      <c r="A48" s="58"/>
      <c r="B48" s="9" t="s">
        <v>33</v>
      </c>
      <c r="C48" s="17">
        <f>C47*750/1000</f>
        <v>2520</v>
      </c>
      <c r="D48" s="17">
        <f t="shared" ref="D48:N48" si="17">D47*750/1000</f>
        <v>2610</v>
      </c>
      <c r="E48" s="17">
        <f t="shared" si="17"/>
        <v>2700</v>
      </c>
      <c r="F48" s="17">
        <f t="shared" si="17"/>
        <v>2790</v>
      </c>
      <c r="G48" s="17">
        <f t="shared" si="17"/>
        <v>2880</v>
      </c>
      <c r="H48" s="17">
        <f t="shared" si="17"/>
        <v>2970</v>
      </c>
      <c r="I48" s="17">
        <f t="shared" si="17"/>
        <v>3060</v>
      </c>
      <c r="J48" s="17">
        <f t="shared" si="17"/>
        <v>3150</v>
      </c>
      <c r="K48" s="17">
        <f t="shared" si="17"/>
        <v>3240</v>
      </c>
      <c r="L48" s="17">
        <f t="shared" si="17"/>
        <v>3330</v>
      </c>
      <c r="M48" s="17">
        <f t="shared" si="17"/>
        <v>3420</v>
      </c>
      <c r="N48" s="17">
        <f t="shared" si="17"/>
        <v>3510</v>
      </c>
      <c r="O48" s="84">
        <f t="shared" si="16"/>
        <v>36180</v>
      </c>
    </row>
    <row r="49" spans="1:15">
      <c r="A49" s="59"/>
    </row>
    <row r="50" spans="1:15">
      <c r="A50" s="58" t="s">
        <v>34</v>
      </c>
      <c r="B50" s="5" t="s">
        <v>35</v>
      </c>
    </row>
    <row r="51" spans="1:15">
      <c r="A51" s="58"/>
      <c r="B51" s="7"/>
      <c r="C51" s="8" t="s">
        <v>5</v>
      </c>
      <c r="D51" s="8" t="s">
        <v>6</v>
      </c>
      <c r="E51" s="8" t="s">
        <v>7</v>
      </c>
      <c r="F51" s="8" t="s">
        <v>8</v>
      </c>
      <c r="G51" s="8" t="s">
        <v>9</v>
      </c>
      <c r="H51" s="8" t="s">
        <v>10</v>
      </c>
      <c r="I51" s="8" t="s">
        <v>11</v>
      </c>
      <c r="J51" s="8" t="s">
        <v>12</v>
      </c>
      <c r="K51" s="8" t="s">
        <v>13</v>
      </c>
      <c r="L51" s="8" t="s">
        <v>14</v>
      </c>
      <c r="M51" s="8" t="s">
        <v>15</v>
      </c>
      <c r="N51" s="8" t="s">
        <v>16</v>
      </c>
      <c r="O51" s="33"/>
    </row>
    <row r="52" spans="1:15">
      <c r="A52" s="59"/>
      <c r="B52" s="11" t="s">
        <v>36</v>
      </c>
      <c r="C52" s="34">
        <f>((45/1.18/1.2)-(1.5*0.75))/1.12</f>
        <v>27.370233050847453</v>
      </c>
      <c r="D52" s="35">
        <f>C52</f>
        <v>27.370233050847453</v>
      </c>
      <c r="E52" s="35">
        <f t="shared" ref="E52:N53" si="18">D52</f>
        <v>27.370233050847453</v>
      </c>
      <c r="F52" s="35">
        <f t="shared" si="18"/>
        <v>27.370233050847453</v>
      </c>
      <c r="G52" s="35">
        <f t="shared" si="18"/>
        <v>27.370233050847453</v>
      </c>
      <c r="H52" s="35">
        <f t="shared" si="18"/>
        <v>27.370233050847453</v>
      </c>
      <c r="I52" s="35">
        <f t="shared" si="18"/>
        <v>27.370233050847453</v>
      </c>
      <c r="J52" s="35">
        <f t="shared" si="18"/>
        <v>27.370233050847453</v>
      </c>
      <c r="K52" s="35">
        <f t="shared" si="18"/>
        <v>27.370233050847453</v>
      </c>
      <c r="L52" s="35">
        <f t="shared" si="18"/>
        <v>27.370233050847453</v>
      </c>
      <c r="M52" s="35">
        <f t="shared" si="18"/>
        <v>27.370233050847453</v>
      </c>
      <c r="N52" s="35">
        <f t="shared" si="18"/>
        <v>27.370233050847453</v>
      </c>
    </row>
    <row r="53" spans="1:15">
      <c r="A53" s="59"/>
      <c r="B53" s="11" t="s">
        <v>37</v>
      </c>
      <c r="C53" s="34">
        <f>((45/1.18/1.2)-(1.5*0.75))/1.12</f>
        <v>27.370233050847453</v>
      </c>
      <c r="D53" s="35">
        <f>C53</f>
        <v>27.370233050847453</v>
      </c>
      <c r="E53" s="35">
        <f t="shared" si="18"/>
        <v>27.370233050847453</v>
      </c>
      <c r="F53" s="35">
        <f t="shared" si="18"/>
        <v>27.370233050847453</v>
      </c>
      <c r="G53" s="35">
        <f t="shared" si="18"/>
        <v>27.370233050847453</v>
      </c>
      <c r="H53" s="35">
        <f t="shared" si="18"/>
        <v>27.370233050847453</v>
      </c>
      <c r="I53" s="35">
        <f t="shared" si="18"/>
        <v>27.370233050847453</v>
      </c>
      <c r="J53" s="35">
        <f t="shared" si="18"/>
        <v>27.370233050847453</v>
      </c>
      <c r="K53" s="35">
        <f t="shared" si="18"/>
        <v>27.370233050847453</v>
      </c>
      <c r="L53" s="35">
        <f t="shared" si="18"/>
        <v>27.370233050847453</v>
      </c>
      <c r="M53" s="35">
        <f t="shared" si="18"/>
        <v>27.370233050847453</v>
      </c>
      <c r="N53" s="35">
        <f t="shared" si="18"/>
        <v>27.370233050847453</v>
      </c>
    </row>
    <row r="54" spans="1:15">
      <c r="A54" s="59"/>
    </row>
    <row r="55" spans="1:15">
      <c r="A55" s="58" t="s">
        <v>38</v>
      </c>
      <c r="B55" s="5" t="s">
        <v>39</v>
      </c>
    </row>
    <row r="56" spans="1:15">
      <c r="A56" s="59"/>
      <c r="B56" s="7"/>
      <c r="C56" s="8" t="s">
        <v>5</v>
      </c>
      <c r="D56" s="8" t="s">
        <v>6</v>
      </c>
      <c r="E56" s="8" t="s">
        <v>7</v>
      </c>
      <c r="F56" s="8" t="s">
        <v>8</v>
      </c>
      <c r="G56" s="8" t="s">
        <v>9</v>
      </c>
      <c r="H56" s="8" t="s">
        <v>10</v>
      </c>
      <c r="I56" s="8" t="s">
        <v>11</v>
      </c>
      <c r="J56" s="8" t="s">
        <v>12</v>
      </c>
      <c r="K56" s="8" t="s">
        <v>13</v>
      </c>
      <c r="L56" s="8" t="s">
        <v>14</v>
      </c>
      <c r="M56" s="8" t="s">
        <v>15</v>
      </c>
      <c r="N56" s="8" t="s">
        <v>16</v>
      </c>
      <c r="O56" s="8" t="s">
        <v>18</v>
      </c>
    </row>
    <row r="57" spans="1:15">
      <c r="A57" s="59"/>
      <c r="B57" s="11" t="s">
        <v>40</v>
      </c>
      <c r="C57" s="36">
        <f>C35*C52</f>
        <v>45981.99152542372</v>
      </c>
      <c r="D57" s="36">
        <f t="shared" ref="D57:N57" si="19">D35*D52</f>
        <v>47624.205508474566</v>
      </c>
      <c r="E57" s="36">
        <f t="shared" si="19"/>
        <v>49266.419491525419</v>
      </c>
      <c r="F57" s="36">
        <f t="shared" si="19"/>
        <v>50908.633474576265</v>
      </c>
      <c r="G57" s="36">
        <f t="shared" si="19"/>
        <v>52550.847457627111</v>
      </c>
      <c r="H57" s="36">
        <f t="shared" si="19"/>
        <v>54193.061440677957</v>
      </c>
      <c r="I57" s="36">
        <f t="shared" si="19"/>
        <v>55835.275423728803</v>
      </c>
      <c r="J57" s="36">
        <f t="shared" si="19"/>
        <v>57477.489406779649</v>
      </c>
      <c r="K57" s="36">
        <f t="shared" si="19"/>
        <v>59119.703389830502</v>
      </c>
      <c r="L57" s="36">
        <f t="shared" si="19"/>
        <v>60761.917372881348</v>
      </c>
      <c r="M57" s="36">
        <f t="shared" si="19"/>
        <v>62404.131355932193</v>
      </c>
      <c r="N57" s="36">
        <f t="shared" si="19"/>
        <v>64046.345338983039</v>
      </c>
      <c r="O57" s="36">
        <f>SUM(C57:N57)</f>
        <v>660170.02118644048</v>
      </c>
    </row>
    <row r="58" spans="1:15">
      <c r="A58" s="59"/>
      <c r="B58" s="11" t="s">
        <v>41</v>
      </c>
      <c r="C58" s="36">
        <f>C41*C53</f>
        <v>45981.99152542372</v>
      </c>
      <c r="D58" s="36">
        <f t="shared" ref="D58:N58" si="20">D41*D53</f>
        <v>47624.205508474566</v>
      </c>
      <c r="E58" s="36">
        <f t="shared" si="20"/>
        <v>49266.419491525419</v>
      </c>
      <c r="F58" s="36">
        <f t="shared" si="20"/>
        <v>50908.633474576265</v>
      </c>
      <c r="G58" s="36">
        <f t="shared" si="20"/>
        <v>52550.847457627111</v>
      </c>
      <c r="H58" s="36">
        <f t="shared" si="20"/>
        <v>54193.061440677957</v>
      </c>
      <c r="I58" s="36">
        <f t="shared" si="20"/>
        <v>55835.275423728803</v>
      </c>
      <c r="J58" s="36">
        <f t="shared" si="20"/>
        <v>57477.489406779649</v>
      </c>
      <c r="K58" s="36">
        <f t="shared" si="20"/>
        <v>59119.703389830502</v>
      </c>
      <c r="L58" s="36">
        <f t="shared" si="20"/>
        <v>60761.917372881348</v>
      </c>
      <c r="M58" s="36">
        <f t="shared" si="20"/>
        <v>62404.131355932193</v>
      </c>
      <c r="N58" s="36">
        <f t="shared" si="20"/>
        <v>64046.345338983039</v>
      </c>
      <c r="O58" s="36">
        <f>SUM(C58:N58)</f>
        <v>660170.02118644048</v>
      </c>
    </row>
    <row r="59" spans="1:15" s="5" customFormat="1">
      <c r="A59" s="60"/>
      <c r="B59" s="11" t="s">
        <v>18</v>
      </c>
      <c r="C59" s="37">
        <f>SUM(C57:C58)</f>
        <v>91963.983050847441</v>
      </c>
      <c r="D59" s="37">
        <f t="shared" ref="D59:O59" si="21">SUM(D57:D58)</f>
        <v>95248.411016949132</v>
      </c>
      <c r="E59" s="37">
        <f t="shared" si="21"/>
        <v>98532.838983050839</v>
      </c>
      <c r="F59" s="37">
        <f t="shared" si="21"/>
        <v>101817.26694915253</v>
      </c>
      <c r="G59" s="37">
        <f t="shared" si="21"/>
        <v>105101.69491525422</v>
      </c>
      <c r="H59" s="37">
        <f t="shared" si="21"/>
        <v>108386.12288135591</v>
      </c>
      <c r="I59" s="37">
        <f t="shared" si="21"/>
        <v>111670.55084745761</v>
      </c>
      <c r="J59" s="37">
        <f t="shared" si="21"/>
        <v>114954.9788135593</v>
      </c>
      <c r="K59" s="37">
        <f t="shared" si="21"/>
        <v>118239.406779661</v>
      </c>
      <c r="L59" s="37">
        <f t="shared" si="21"/>
        <v>121523.8347457627</v>
      </c>
      <c r="M59" s="37">
        <f t="shared" si="21"/>
        <v>124808.26271186439</v>
      </c>
      <c r="N59" s="37">
        <f t="shared" si="21"/>
        <v>128092.69067796608</v>
      </c>
      <c r="O59" s="37">
        <f t="shared" si="21"/>
        <v>1320340.042372881</v>
      </c>
    </row>
    <row r="60" spans="1:15">
      <c r="A60" s="59"/>
      <c r="C60" s="38"/>
    </row>
    <row r="61" spans="1:15" hidden="1">
      <c r="A61" s="58" t="s">
        <v>42</v>
      </c>
      <c r="B61" s="5" t="s">
        <v>43</v>
      </c>
    </row>
    <row r="62" spans="1:15" hidden="1">
      <c r="B62" s="7"/>
      <c r="C62" s="8" t="s">
        <v>5</v>
      </c>
      <c r="D62" s="8" t="s">
        <v>6</v>
      </c>
      <c r="E62" s="8" t="s">
        <v>7</v>
      </c>
      <c r="F62" s="8" t="s">
        <v>8</v>
      </c>
      <c r="G62" s="8" t="s">
        <v>9</v>
      </c>
      <c r="H62" s="8" t="s">
        <v>10</v>
      </c>
      <c r="I62" s="8" t="s">
        <v>11</v>
      </c>
      <c r="J62" s="8" t="s">
        <v>12</v>
      </c>
      <c r="K62" s="8" t="s">
        <v>13</v>
      </c>
      <c r="L62" s="8" t="s">
        <v>14</v>
      </c>
      <c r="M62" s="8" t="s">
        <v>15</v>
      </c>
      <c r="N62" s="8" t="s">
        <v>16</v>
      </c>
      <c r="O62" s="8" t="s">
        <v>18</v>
      </c>
    </row>
    <row r="63" spans="1:15" hidden="1">
      <c r="B63" s="11" t="s">
        <v>44</v>
      </c>
      <c r="C63" s="36">
        <f>'[1]Plan de compensación'!G46</f>
        <v>1392.8571428571429</v>
      </c>
      <c r="D63" s="36">
        <f>C63</f>
        <v>1392.8571428571429</v>
      </c>
      <c r="E63" s="36">
        <f t="shared" ref="E63:N63" si="22">D63</f>
        <v>1392.8571428571429</v>
      </c>
      <c r="F63" s="36">
        <f t="shared" si="22"/>
        <v>1392.8571428571429</v>
      </c>
      <c r="G63" s="36">
        <f t="shared" si="22"/>
        <v>1392.8571428571429</v>
      </c>
      <c r="H63" s="36">
        <f t="shared" si="22"/>
        <v>1392.8571428571429</v>
      </c>
      <c r="I63" s="36">
        <f t="shared" si="22"/>
        <v>1392.8571428571429</v>
      </c>
      <c r="J63" s="36">
        <f t="shared" si="22"/>
        <v>1392.8571428571429</v>
      </c>
      <c r="K63" s="36">
        <f t="shared" si="22"/>
        <v>1392.8571428571429</v>
      </c>
      <c r="L63" s="36">
        <f t="shared" si="22"/>
        <v>1392.8571428571429</v>
      </c>
      <c r="M63" s="36">
        <f t="shared" si="22"/>
        <v>1392.8571428571429</v>
      </c>
      <c r="N63" s="36">
        <f t="shared" si="22"/>
        <v>1392.8571428571429</v>
      </c>
      <c r="O63" s="39"/>
    </row>
    <row r="64" spans="1:15" hidden="1">
      <c r="A64" s="40"/>
      <c r="B64" s="11" t="s">
        <v>45</v>
      </c>
      <c r="C64" s="36">
        <f>C63*'[1]Plan de compensación'!$H$42</f>
        <v>2089.2857142857142</v>
      </c>
      <c r="D64" s="36">
        <f>D63*'[1]Plan de compensación'!$H$42</f>
        <v>2089.2857142857142</v>
      </c>
      <c r="E64" s="36">
        <f>E63*'[1]Plan de compensación'!$H$42</f>
        <v>2089.2857142857142</v>
      </c>
      <c r="F64" s="36">
        <f>F63*'[1]Plan de compensación'!$H$42</f>
        <v>2089.2857142857142</v>
      </c>
      <c r="G64" s="36">
        <f>G63*'[1]Plan de compensación'!$H$42</f>
        <v>2089.2857142857142</v>
      </c>
      <c r="H64" s="36">
        <f>H63*'[1]Plan de compensación'!$H$42</f>
        <v>2089.2857142857142</v>
      </c>
      <c r="I64" s="36">
        <f>I63*'[1]Plan de compensación'!$H$42</f>
        <v>2089.2857142857142</v>
      </c>
      <c r="J64" s="36">
        <f>J63*'[1]Plan de compensación'!$H$42</f>
        <v>2089.2857142857142</v>
      </c>
      <c r="K64" s="36">
        <f>K63*'[1]Plan de compensación'!$H$42</f>
        <v>2089.2857142857142</v>
      </c>
      <c r="L64" s="36">
        <f>L63*'[1]Plan de compensación'!$H$42</f>
        <v>2089.2857142857142</v>
      </c>
      <c r="M64" s="36">
        <f>M63*'[1]Plan de compensación'!$H$42</f>
        <v>2089.2857142857142</v>
      </c>
      <c r="N64" s="36">
        <f>N63*'[1]Plan de compensación'!$H$42</f>
        <v>2089.2857142857142</v>
      </c>
      <c r="O64" s="39"/>
    </row>
    <row r="65" spans="1:15" hidden="1">
      <c r="B65" s="11" t="s">
        <v>46</v>
      </c>
      <c r="C65" s="37">
        <f t="shared" ref="C65:N65" si="23">C64*C12</f>
        <v>10446.428571428571</v>
      </c>
      <c r="D65" s="37">
        <f t="shared" si="23"/>
        <v>10446.428571428571</v>
      </c>
      <c r="E65" s="37">
        <f t="shared" si="23"/>
        <v>10446.428571428571</v>
      </c>
      <c r="F65" s="37">
        <f t="shared" si="23"/>
        <v>10446.428571428571</v>
      </c>
      <c r="G65" s="37">
        <f t="shared" si="23"/>
        <v>10446.428571428571</v>
      </c>
      <c r="H65" s="37">
        <f t="shared" si="23"/>
        <v>10446.428571428571</v>
      </c>
      <c r="I65" s="37">
        <f t="shared" si="23"/>
        <v>10446.428571428571</v>
      </c>
      <c r="J65" s="37">
        <f t="shared" si="23"/>
        <v>10446.428571428571</v>
      </c>
      <c r="K65" s="37">
        <f t="shared" si="23"/>
        <v>10446.428571428571</v>
      </c>
      <c r="L65" s="37">
        <f t="shared" si="23"/>
        <v>10446.428571428571</v>
      </c>
      <c r="M65" s="37">
        <f t="shared" si="23"/>
        <v>10446.428571428571</v>
      </c>
      <c r="N65" s="37">
        <f t="shared" si="23"/>
        <v>10446.428571428571</v>
      </c>
      <c r="O65" s="37">
        <f>SUM(C65:N65)</f>
        <v>125357.14285714283</v>
      </c>
    </row>
    <row r="66" spans="1:15" hidden="1"/>
    <row r="67" spans="1:15" ht="15.75">
      <c r="A67" s="2" t="s">
        <v>47</v>
      </c>
      <c r="B67" s="3" t="s">
        <v>48</v>
      </c>
    </row>
    <row r="69" spans="1:15">
      <c r="A69" s="61" t="s">
        <v>49</v>
      </c>
      <c r="B69" t="s">
        <v>50</v>
      </c>
    </row>
    <row r="71" spans="1:15">
      <c r="A71" s="4"/>
      <c r="B71" s="5" t="s">
        <v>28</v>
      </c>
    </row>
    <row r="72" spans="1:15" s="65" customFormat="1">
      <c r="A72" s="61"/>
      <c r="B72" s="62" t="s">
        <v>22</v>
      </c>
      <c r="C72" s="63"/>
      <c r="D72" s="64">
        <v>0.02</v>
      </c>
      <c r="E72" s="64">
        <f>D72</f>
        <v>0.02</v>
      </c>
      <c r="F72" s="64">
        <v>0.04</v>
      </c>
      <c r="G72" s="64">
        <f t="shared" ref="G72:M72" si="24">F72</f>
        <v>0.04</v>
      </c>
      <c r="H72" s="64">
        <v>0.06</v>
      </c>
      <c r="I72" s="64">
        <f t="shared" si="24"/>
        <v>0.06</v>
      </c>
      <c r="J72" s="64">
        <f t="shared" si="24"/>
        <v>0.06</v>
      </c>
      <c r="K72" s="64">
        <f t="shared" si="24"/>
        <v>0.06</v>
      </c>
      <c r="L72" s="64">
        <v>7.0000000000000007E-2</v>
      </c>
      <c r="M72" s="64">
        <f t="shared" si="24"/>
        <v>7.0000000000000007E-2</v>
      </c>
      <c r="N72" s="64">
        <v>0.08</v>
      </c>
    </row>
    <row r="73" spans="1:15">
      <c r="A73" s="4"/>
      <c r="B73" s="7"/>
      <c r="C73" s="8" t="s">
        <v>5</v>
      </c>
      <c r="D73" s="8" t="s">
        <v>6</v>
      </c>
      <c r="E73" s="8" t="s">
        <v>7</v>
      </c>
      <c r="F73" s="8" t="s">
        <v>8</v>
      </c>
      <c r="G73" s="8" t="s">
        <v>9</v>
      </c>
      <c r="H73" s="8" t="s">
        <v>10</v>
      </c>
      <c r="I73" s="8" t="s">
        <v>11</v>
      </c>
      <c r="J73" s="8" t="s">
        <v>12</v>
      </c>
      <c r="K73" s="8" t="s">
        <v>13</v>
      </c>
      <c r="L73" s="8" t="s">
        <v>14</v>
      </c>
      <c r="M73" s="8" t="s">
        <v>15</v>
      </c>
      <c r="N73" s="8" t="s">
        <v>16</v>
      </c>
      <c r="O73" s="8" t="s">
        <v>18</v>
      </c>
    </row>
    <row r="74" spans="1:15">
      <c r="A74" s="4"/>
      <c r="B74" s="9" t="s">
        <v>29</v>
      </c>
      <c r="C74" s="28">
        <v>35</v>
      </c>
      <c r="D74" s="17">
        <f>ROUNDUP(C74*(1+D72),0)</f>
        <v>36</v>
      </c>
      <c r="E74" s="17">
        <f t="shared" ref="E74:N74" si="25">ROUNDUP(D74*(1+E72),0)</f>
        <v>37</v>
      </c>
      <c r="F74" s="17">
        <f t="shared" si="25"/>
        <v>39</v>
      </c>
      <c r="G74" s="17">
        <f t="shared" si="25"/>
        <v>41</v>
      </c>
      <c r="H74" s="17">
        <f t="shared" si="25"/>
        <v>44</v>
      </c>
      <c r="I74" s="17">
        <f t="shared" si="25"/>
        <v>47</v>
      </c>
      <c r="J74" s="17">
        <f t="shared" si="25"/>
        <v>50</v>
      </c>
      <c r="K74" s="17">
        <f t="shared" si="25"/>
        <v>53</v>
      </c>
      <c r="L74" s="17">
        <f t="shared" si="25"/>
        <v>57</v>
      </c>
      <c r="M74" s="17">
        <f t="shared" si="25"/>
        <v>61</v>
      </c>
      <c r="N74" s="17">
        <f t="shared" si="25"/>
        <v>66</v>
      </c>
      <c r="O74" s="18">
        <f>SUM(C74:N74)</f>
        <v>566</v>
      </c>
    </row>
    <row r="75" spans="1:15">
      <c r="A75" s="61">
        <v>12</v>
      </c>
      <c r="B75" s="9" t="s">
        <v>30</v>
      </c>
      <c r="C75" s="17">
        <f>C74*$A$75</f>
        <v>420</v>
      </c>
      <c r="D75" s="17">
        <f>D74*$A$75</f>
        <v>432</v>
      </c>
      <c r="E75" s="17">
        <f t="shared" ref="E75:N75" si="26">E74*$A$75</f>
        <v>444</v>
      </c>
      <c r="F75" s="17">
        <f t="shared" si="26"/>
        <v>468</v>
      </c>
      <c r="G75" s="17">
        <f t="shared" si="26"/>
        <v>492</v>
      </c>
      <c r="H75" s="17">
        <f t="shared" si="26"/>
        <v>528</v>
      </c>
      <c r="I75" s="17">
        <f t="shared" si="26"/>
        <v>564</v>
      </c>
      <c r="J75" s="17">
        <f t="shared" si="26"/>
        <v>600</v>
      </c>
      <c r="K75" s="17">
        <f t="shared" si="26"/>
        <v>636</v>
      </c>
      <c r="L75" s="17">
        <f t="shared" si="26"/>
        <v>684</v>
      </c>
      <c r="M75" s="17">
        <f t="shared" si="26"/>
        <v>732</v>
      </c>
      <c r="N75" s="17">
        <f t="shared" si="26"/>
        <v>792</v>
      </c>
      <c r="O75" s="18">
        <f t="shared" ref="O75" si="27">SUM(C75:N75)</f>
        <v>6792</v>
      </c>
    </row>
    <row r="76" spans="1:15">
      <c r="A76" s="61"/>
      <c r="B76" s="5"/>
    </row>
    <row r="77" spans="1:15">
      <c r="A77" s="61"/>
      <c r="B77" s="5" t="s">
        <v>31</v>
      </c>
    </row>
    <row r="78" spans="1:15">
      <c r="A78" s="61"/>
      <c r="B78" s="13" t="s">
        <v>22</v>
      </c>
      <c r="C78" s="14"/>
      <c r="D78" s="27">
        <f>D72</f>
        <v>0.02</v>
      </c>
      <c r="E78" s="27">
        <f t="shared" ref="E78:N78" si="28">E72</f>
        <v>0.02</v>
      </c>
      <c r="F78" s="27">
        <f t="shared" si="28"/>
        <v>0.04</v>
      </c>
      <c r="G78" s="27">
        <f t="shared" si="28"/>
        <v>0.04</v>
      </c>
      <c r="H78" s="27">
        <f t="shared" si="28"/>
        <v>0.06</v>
      </c>
      <c r="I78" s="27">
        <f t="shared" si="28"/>
        <v>0.06</v>
      </c>
      <c r="J78" s="27">
        <f t="shared" si="28"/>
        <v>0.06</v>
      </c>
      <c r="K78" s="27">
        <f t="shared" si="28"/>
        <v>0.06</v>
      </c>
      <c r="L78" s="27">
        <f t="shared" si="28"/>
        <v>7.0000000000000007E-2</v>
      </c>
      <c r="M78" s="27">
        <f t="shared" si="28"/>
        <v>7.0000000000000007E-2</v>
      </c>
      <c r="N78" s="27">
        <f t="shared" si="28"/>
        <v>0.08</v>
      </c>
    </row>
    <row r="79" spans="1:15">
      <c r="A79" s="61"/>
      <c r="B79" s="7"/>
      <c r="C79" s="8" t="s">
        <v>5</v>
      </c>
      <c r="D79" s="8" t="s">
        <v>6</v>
      </c>
      <c r="E79" s="8" t="s">
        <v>7</v>
      </c>
      <c r="F79" s="8" t="s">
        <v>8</v>
      </c>
      <c r="G79" s="8" t="s">
        <v>9</v>
      </c>
      <c r="H79" s="8" t="s">
        <v>10</v>
      </c>
      <c r="I79" s="8" t="s">
        <v>11</v>
      </c>
      <c r="J79" s="8" t="s">
        <v>12</v>
      </c>
      <c r="K79" s="8" t="s">
        <v>13</v>
      </c>
      <c r="L79" s="8" t="s">
        <v>14</v>
      </c>
      <c r="M79" s="8" t="s">
        <v>15</v>
      </c>
      <c r="N79" s="8" t="s">
        <v>16</v>
      </c>
      <c r="O79" s="8" t="s">
        <v>18</v>
      </c>
    </row>
    <row r="80" spans="1:15">
      <c r="A80" s="61"/>
      <c r="B80" s="9" t="s">
        <v>29</v>
      </c>
      <c r="C80" s="28">
        <f>C74</f>
        <v>35</v>
      </c>
      <c r="D80" s="17">
        <f>ROUNDUP(C80*(1+D78),0)</f>
        <v>36</v>
      </c>
      <c r="E80" s="17">
        <f t="shared" ref="E80:N80" si="29">ROUNDUP(D80*(1+E78),0)</f>
        <v>37</v>
      </c>
      <c r="F80" s="17">
        <f t="shared" si="29"/>
        <v>39</v>
      </c>
      <c r="G80" s="17">
        <f t="shared" si="29"/>
        <v>41</v>
      </c>
      <c r="H80" s="17">
        <f t="shared" si="29"/>
        <v>44</v>
      </c>
      <c r="I80" s="17">
        <f t="shared" si="29"/>
        <v>47</v>
      </c>
      <c r="J80" s="17">
        <f t="shared" si="29"/>
        <v>50</v>
      </c>
      <c r="K80" s="17">
        <f t="shared" si="29"/>
        <v>53</v>
      </c>
      <c r="L80" s="17">
        <f t="shared" si="29"/>
        <v>57</v>
      </c>
      <c r="M80" s="17">
        <f t="shared" si="29"/>
        <v>61</v>
      </c>
      <c r="N80" s="17">
        <f t="shared" si="29"/>
        <v>66</v>
      </c>
      <c r="O80" s="18">
        <f>SUM(C80:N80)</f>
        <v>566</v>
      </c>
    </row>
    <row r="81" spans="1:17">
      <c r="A81" s="61">
        <v>12</v>
      </c>
      <c r="B81" s="9" t="s">
        <v>30</v>
      </c>
      <c r="C81" s="17">
        <f>C80*$A$81</f>
        <v>420</v>
      </c>
      <c r="D81" s="17">
        <f>D80*$A$81</f>
        <v>432</v>
      </c>
      <c r="E81" s="17">
        <f t="shared" ref="E81:N81" si="30">E80*$A$81</f>
        <v>444</v>
      </c>
      <c r="F81" s="17">
        <f t="shared" si="30"/>
        <v>468</v>
      </c>
      <c r="G81" s="17">
        <f t="shared" si="30"/>
        <v>492</v>
      </c>
      <c r="H81" s="17">
        <f t="shared" si="30"/>
        <v>528</v>
      </c>
      <c r="I81" s="17">
        <f t="shared" si="30"/>
        <v>564</v>
      </c>
      <c r="J81" s="17">
        <f t="shared" si="30"/>
        <v>600</v>
      </c>
      <c r="K81" s="17">
        <f t="shared" si="30"/>
        <v>636</v>
      </c>
      <c r="L81" s="17">
        <f t="shared" si="30"/>
        <v>684</v>
      </c>
      <c r="M81" s="17">
        <f t="shared" si="30"/>
        <v>732</v>
      </c>
      <c r="N81" s="17">
        <f t="shared" si="30"/>
        <v>792</v>
      </c>
      <c r="O81" s="18">
        <f t="shared" ref="O81" si="31">SUM(C81:N81)</f>
        <v>6792</v>
      </c>
    </row>
    <row r="82" spans="1:17">
      <c r="B82" s="5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30"/>
    </row>
    <row r="83" spans="1:17">
      <c r="A83" s="4"/>
      <c r="B83" s="5" t="s">
        <v>51</v>
      </c>
    </row>
    <row r="84" spans="1:17" s="65" customFormat="1">
      <c r="A84" s="61"/>
      <c r="B84" s="62" t="s">
        <v>22</v>
      </c>
      <c r="C84" s="63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</row>
    <row r="85" spans="1:17">
      <c r="A85" s="4"/>
      <c r="B85" s="7"/>
      <c r="C85" s="8" t="s">
        <v>5</v>
      </c>
      <c r="D85" s="8" t="s">
        <v>6</v>
      </c>
      <c r="E85" s="8" t="s">
        <v>7</v>
      </c>
      <c r="F85" s="8" t="s">
        <v>8</v>
      </c>
      <c r="G85" s="8" t="s">
        <v>9</v>
      </c>
      <c r="H85" s="8" t="s">
        <v>10</v>
      </c>
      <c r="I85" s="8" t="s">
        <v>11</v>
      </c>
      <c r="J85" s="8" t="s">
        <v>12</v>
      </c>
      <c r="K85" s="8" t="s">
        <v>13</v>
      </c>
      <c r="L85" s="8" t="s">
        <v>14</v>
      </c>
      <c r="M85" s="8" t="s">
        <v>15</v>
      </c>
      <c r="N85" s="8" t="s">
        <v>16</v>
      </c>
      <c r="O85" s="8" t="s">
        <v>18</v>
      </c>
    </row>
    <row r="86" spans="1:17">
      <c r="A86" s="4"/>
      <c r="B86" s="9" t="s">
        <v>29</v>
      </c>
      <c r="C86" s="28">
        <f t="shared" ref="C86:N87" si="32">C74+C80</f>
        <v>70</v>
      </c>
      <c r="D86" s="28">
        <f t="shared" si="32"/>
        <v>72</v>
      </c>
      <c r="E86" s="28">
        <f t="shared" si="32"/>
        <v>74</v>
      </c>
      <c r="F86" s="28">
        <f t="shared" si="32"/>
        <v>78</v>
      </c>
      <c r="G86" s="28">
        <f t="shared" si="32"/>
        <v>82</v>
      </c>
      <c r="H86" s="28">
        <f t="shared" si="32"/>
        <v>88</v>
      </c>
      <c r="I86" s="28">
        <f t="shared" si="32"/>
        <v>94</v>
      </c>
      <c r="J86" s="28">
        <f t="shared" si="32"/>
        <v>100</v>
      </c>
      <c r="K86" s="28">
        <f t="shared" si="32"/>
        <v>106</v>
      </c>
      <c r="L86" s="28">
        <f t="shared" si="32"/>
        <v>114</v>
      </c>
      <c r="M86" s="28">
        <f t="shared" si="32"/>
        <v>122</v>
      </c>
      <c r="N86" s="28">
        <f t="shared" si="32"/>
        <v>132</v>
      </c>
      <c r="O86" s="18">
        <f>SUM(C86:N86)</f>
        <v>1132</v>
      </c>
    </row>
    <row r="87" spans="1:17">
      <c r="A87" s="4"/>
      <c r="B87" s="9" t="s">
        <v>30</v>
      </c>
      <c r="C87" s="17">
        <f t="shared" si="32"/>
        <v>840</v>
      </c>
      <c r="D87" s="17">
        <f t="shared" si="32"/>
        <v>864</v>
      </c>
      <c r="E87" s="17">
        <f t="shared" si="32"/>
        <v>888</v>
      </c>
      <c r="F87" s="17">
        <f t="shared" si="32"/>
        <v>936</v>
      </c>
      <c r="G87" s="17">
        <f t="shared" si="32"/>
        <v>984</v>
      </c>
      <c r="H87" s="17">
        <f t="shared" si="32"/>
        <v>1056</v>
      </c>
      <c r="I87" s="17">
        <f t="shared" si="32"/>
        <v>1128</v>
      </c>
      <c r="J87" s="17">
        <f t="shared" si="32"/>
        <v>1200</v>
      </c>
      <c r="K87" s="17">
        <f t="shared" si="32"/>
        <v>1272</v>
      </c>
      <c r="L87" s="17">
        <f t="shared" si="32"/>
        <v>1368</v>
      </c>
      <c r="M87" s="17">
        <f t="shared" si="32"/>
        <v>1464</v>
      </c>
      <c r="N87" s="17">
        <f t="shared" si="32"/>
        <v>1584</v>
      </c>
      <c r="O87" s="18">
        <f t="shared" ref="O87:O88" si="33">SUM(C87:N87)</f>
        <v>13584</v>
      </c>
    </row>
    <row r="88" spans="1:17">
      <c r="A88" s="4"/>
      <c r="B88" s="9" t="s">
        <v>33</v>
      </c>
      <c r="C88" s="17">
        <f>C87*750/1000</f>
        <v>630</v>
      </c>
      <c r="D88" s="17">
        <f t="shared" ref="D88:N88" si="34">D87*750/1000</f>
        <v>648</v>
      </c>
      <c r="E88" s="17">
        <f t="shared" si="34"/>
        <v>666</v>
      </c>
      <c r="F88" s="17">
        <f t="shared" si="34"/>
        <v>702</v>
      </c>
      <c r="G88" s="17">
        <f t="shared" si="34"/>
        <v>738</v>
      </c>
      <c r="H88" s="17">
        <f t="shared" si="34"/>
        <v>792</v>
      </c>
      <c r="I88" s="17">
        <f t="shared" si="34"/>
        <v>846</v>
      </c>
      <c r="J88" s="17">
        <f t="shared" si="34"/>
        <v>900</v>
      </c>
      <c r="K88" s="17">
        <f t="shared" si="34"/>
        <v>954</v>
      </c>
      <c r="L88" s="17">
        <f t="shared" si="34"/>
        <v>1026</v>
      </c>
      <c r="M88" s="17">
        <f t="shared" si="34"/>
        <v>1098</v>
      </c>
      <c r="N88" s="17">
        <f t="shared" si="34"/>
        <v>1188</v>
      </c>
      <c r="O88" s="84">
        <f t="shared" si="33"/>
        <v>10188</v>
      </c>
    </row>
    <row r="90" spans="1:17">
      <c r="A90" s="61" t="s">
        <v>52</v>
      </c>
      <c r="B90" s="5" t="s">
        <v>35</v>
      </c>
      <c r="Q90" s="32"/>
    </row>
    <row r="91" spans="1:17">
      <c r="A91" s="61"/>
      <c r="B91" s="7"/>
      <c r="C91" s="8" t="s">
        <v>5</v>
      </c>
      <c r="D91" s="8" t="s">
        <v>6</v>
      </c>
      <c r="E91" s="8" t="s">
        <v>7</v>
      </c>
      <c r="F91" s="8" t="s">
        <v>8</v>
      </c>
      <c r="G91" s="8" t="s">
        <v>9</v>
      </c>
      <c r="H91" s="8" t="s">
        <v>10</v>
      </c>
      <c r="I91" s="8" t="s">
        <v>11</v>
      </c>
      <c r="J91" s="8" t="s">
        <v>12</v>
      </c>
      <c r="K91" s="8" t="s">
        <v>13</v>
      </c>
      <c r="L91" s="8" t="s">
        <v>14</v>
      </c>
      <c r="M91" s="8" t="s">
        <v>15</v>
      </c>
      <c r="N91" s="8" t="s">
        <v>16</v>
      </c>
      <c r="O91" s="33"/>
      <c r="Q91" s="32"/>
    </row>
    <row r="92" spans="1:17">
      <c r="A92" s="65"/>
      <c r="B92" s="11" t="s">
        <v>36</v>
      </c>
      <c r="C92" s="34">
        <f>((55/1.18)-(1.5*0.75))/1.3</f>
        <v>34.988591916558022</v>
      </c>
      <c r="D92" s="35">
        <f>C92</f>
        <v>34.988591916558022</v>
      </c>
      <c r="E92" s="35">
        <f t="shared" ref="E92:N93" si="35">D92</f>
        <v>34.988591916558022</v>
      </c>
      <c r="F92" s="35">
        <f t="shared" si="35"/>
        <v>34.988591916558022</v>
      </c>
      <c r="G92" s="35">
        <f t="shared" si="35"/>
        <v>34.988591916558022</v>
      </c>
      <c r="H92" s="35">
        <f t="shared" si="35"/>
        <v>34.988591916558022</v>
      </c>
      <c r="I92" s="35">
        <f t="shared" si="35"/>
        <v>34.988591916558022</v>
      </c>
      <c r="J92" s="35">
        <f t="shared" si="35"/>
        <v>34.988591916558022</v>
      </c>
      <c r="K92" s="35">
        <f t="shared" si="35"/>
        <v>34.988591916558022</v>
      </c>
      <c r="L92" s="35">
        <f t="shared" si="35"/>
        <v>34.988591916558022</v>
      </c>
      <c r="M92" s="35">
        <f t="shared" si="35"/>
        <v>34.988591916558022</v>
      </c>
      <c r="N92" s="35">
        <f t="shared" si="35"/>
        <v>34.988591916558022</v>
      </c>
      <c r="Q92" s="32"/>
    </row>
    <row r="93" spans="1:17">
      <c r="A93" s="65"/>
      <c r="B93" s="11" t="s">
        <v>37</v>
      </c>
      <c r="C93" s="34">
        <f>((55/1.18)-(1.5*0.75))/1.3</f>
        <v>34.988591916558022</v>
      </c>
      <c r="D93" s="35">
        <f>C93</f>
        <v>34.988591916558022</v>
      </c>
      <c r="E93" s="35">
        <f t="shared" si="35"/>
        <v>34.988591916558022</v>
      </c>
      <c r="F93" s="35">
        <f t="shared" si="35"/>
        <v>34.988591916558022</v>
      </c>
      <c r="G93" s="35">
        <f t="shared" si="35"/>
        <v>34.988591916558022</v>
      </c>
      <c r="H93" s="35">
        <f t="shared" si="35"/>
        <v>34.988591916558022</v>
      </c>
      <c r="I93" s="35">
        <f t="shared" si="35"/>
        <v>34.988591916558022</v>
      </c>
      <c r="J93" s="35">
        <f t="shared" si="35"/>
        <v>34.988591916558022</v>
      </c>
      <c r="K93" s="35">
        <f t="shared" si="35"/>
        <v>34.988591916558022</v>
      </c>
      <c r="L93" s="35">
        <f t="shared" si="35"/>
        <v>34.988591916558022</v>
      </c>
      <c r="M93" s="35">
        <f t="shared" si="35"/>
        <v>34.988591916558022</v>
      </c>
      <c r="N93" s="35">
        <f t="shared" si="35"/>
        <v>34.988591916558022</v>
      </c>
    </row>
    <row r="94" spans="1:17">
      <c r="A94" s="65"/>
    </row>
    <row r="95" spans="1:17">
      <c r="A95" s="61" t="s">
        <v>53</v>
      </c>
      <c r="B95" s="5" t="s">
        <v>39</v>
      </c>
    </row>
    <row r="96" spans="1:17">
      <c r="A96" s="65"/>
      <c r="B96" s="7"/>
      <c r="C96" s="8" t="s">
        <v>5</v>
      </c>
      <c r="D96" s="8" t="s">
        <v>6</v>
      </c>
      <c r="E96" s="8" t="s">
        <v>7</v>
      </c>
      <c r="F96" s="8" t="s">
        <v>8</v>
      </c>
      <c r="G96" s="8" t="s">
        <v>9</v>
      </c>
      <c r="H96" s="8" t="s">
        <v>10</v>
      </c>
      <c r="I96" s="8" t="s">
        <v>11</v>
      </c>
      <c r="J96" s="8" t="s">
        <v>12</v>
      </c>
      <c r="K96" s="8" t="s">
        <v>13</v>
      </c>
      <c r="L96" s="8" t="s">
        <v>14</v>
      </c>
      <c r="M96" s="8" t="s">
        <v>15</v>
      </c>
      <c r="N96" s="8" t="s">
        <v>16</v>
      </c>
      <c r="O96" s="8" t="s">
        <v>18</v>
      </c>
    </row>
    <row r="97" spans="1:15">
      <c r="B97" s="11" t="s">
        <v>40</v>
      </c>
      <c r="C97" s="36">
        <f>C75*C92</f>
        <v>14695.208604954369</v>
      </c>
      <c r="D97" s="36">
        <f t="shared" ref="D97:N97" si="36">D75*D92</f>
        <v>15115.071707953066</v>
      </c>
      <c r="E97" s="36">
        <f t="shared" si="36"/>
        <v>15534.934810951761</v>
      </c>
      <c r="F97" s="36">
        <f t="shared" si="36"/>
        <v>16374.661016949154</v>
      </c>
      <c r="G97" s="36">
        <f t="shared" si="36"/>
        <v>17214.387222946545</v>
      </c>
      <c r="H97" s="36">
        <f t="shared" si="36"/>
        <v>18473.976531942637</v>
      </c>
      <c r="I97" s="36">
        <f t="shared" si="36"/>
        <v>19733.565840938725</v>
      </c>
      <c r="J97" s="36">
        <f t="shared" si="36"/>
        <v>20993.155149934813</v>
      </c>
      <c r="K97" s="36">
        <f t="shared" si="36"/>
        <v>22252.744458930902</v>
      </c>
      <c r="L97" s="36">
        <f t="shared" si="36"/>
        <v>23932.196870925687</v>
      </c>
      <c r="M97" s="36">
        <f t="shared" si="36"/>
        <v>25611.649282920473</v>
      </c>
      <c r="N97" s="36">
        <f t="shared" si="36"/>
        <v>27710.964797913952</v>
      </c>
      <c r="O97" s="36">
        <f>SUM(C97:N97)</f>
        <v>237642.5162972621</v>
      </c>
    </row>
    <row r="98" spans="1:15">
      <c r="B98" s="11" t="s">
        <v>41</v>
      </c>
      <c r="C98" s="36">
        <f>C81*C93</f>
        <v>14695.208604954369</v>
      </c>
      <c r="D98" s="36">
        <f t="shared" ref="D98:N98" si="37">D81*D93</f>
        <v>15115.071707953066</v>
      </c>
      <c r="E98" s="36">
        <f t="shared" si="37"/>
        <v>15534.934810951761</v>
      </c>
      <c r="F98" s="36">
        <f t="shared" si="37"/>
        <v>16374.661016949154</v>
      </c>
      <c r="G98" s="36">
        <f t="shared" si="37"/>
        <v>17214.387222946545</v>
      </c>
      <c r="H98" s="36">
        <f t="shared" si="37"/>
        <v>18473.976531942637</v>
      </c>
      <c r="I98" s="36">
        <f t="shared" si="37"/>
        <v>19733.565840938725</v>
      </c>
      <c r="J98" s="36">
        <f t="shared" si="37"/>
        <v>20993.155149934813</v>
      </c>
      <c r="K98" s="36">
        <f t="shared" si="37"/>
        <v>22252.744458930902</v>
      </c>
      <c r="L98" s="36">
        <f t="shared" si="37"/>
        <v>23932.196870925687</v>
      </c>
      <c r="M98" s="36">
        <f t="shared" si="37"/>
        <v>25611.649282920473</v>
      </c>
      <c r="N98" s="36">
        <f t="shared" si="37"/>
        <v>27710.964797913952</v>
      </c>
      <c r="O98" s="36">
        <f>SUM(C98:N98)</f>
        <v>237642.5162972621</v>
      </c>
    </row>
    <row r="99" spans="1:15" s="5" customFormat="1">
      <c r="B99" s="11" t="s">
        <v>18</v>
      </c>
      <c r="C99" s="37">
        <f>SUM(C97:C98)</f>
        <v>29390.417209908737</v>
      </c>
      <c r="D99" s="37">
        <f t="shared" ref="D99:O99" si="38">SUM(D97:D98)</f>
        <v>30230.143415906132</v>
      </c>
      <c r="E99" s="37">
        <f t="shared" si="38"/>
        <v>31069.869621903523</v>
      </c>
      <c r="F99" s="37">
        <f t="shared" si="38"/>
        <v>32749.322033898308</v>
      </c>
      <c r="G99" s="37">
        <f t="shared" si="38"/>
        <v>34428.77444589309</v>
      </c>
      <c r="H99" s="37">
        <f t="shared" si="38"/>
        <v>36947.953063885274</v>
      </c>
      <c r="I99" s="37">
        <f t="shared" si="38"/>
        <v>39467.13168187745</v>
      </c>
      <c r="J99" s="37">
        <f t="shared" si="38"/>
        <v>41986.310299869627</v>
      </c>
      <c r="K99" s="37">
        <f t="shared" si="38"/>
        <v>44505.488917861803</v>
      </c>
      <c r="L99" s="37">
        <f t="shared" si="38"/>
        <v>47864.393741851374</v>
      </c>
      <c r="M99" s="37">
        <f t="shared" si="38"/>
        <v>51223.298565840945</v>
      </c>
      <c r="N99" s="37">
        <f t="shared" si="38"/>
        <v>55421.929595827904</v>
      </c>
      <c r="O99" s="37">
        <f t="shared" si="38"/>
        <v>475285.03259452421</v>
      </c>
    </row>
    <row r="101" spans="1:15">
      <c r="A101" s="61" t="s">
        <v>54</v>
      </c>
      <c r="B101" s="5" t="s">
        <v>55</v>
      </c>
    </row>
    <row r="102" spans="1:15">
      <c r="B102" s="7"/>
      <c r="C102" s="8" t="s">
        <v>5</v>
      </c>
      <c r="D102" s="8" t="s">
        <v>6</v>
      </c>
      <c r="E102" s="8" t="s">
        <v>7</v>
      </c>
      <c r="F102" s="8" t="s">
        <v>8</v>
      </c>
      <c r="G102" s="8" t="s">
        <v>9</v>
      </c>
      <c r="H102" s="8" t="s">
        <v>10</v>
      </c>
      <c r="I102" s="8" t="s">
        <v>11</v>
      </c>
      <c r="J102" s="8" t="s">
        <v>12</v>
      </c>
      <c r="K102" s="8" t="s">
        <v>13</v>
      </c>
      <c r="L102" s="8" t="s">
        <v>14</v>
      </c>
      <c r="M102" s="8" t="s">
        <v>15</v>
      </c>
      <c r="N102" s="8" t="s">
        <v>16</v>
      </c>
      <c r="O102" s="8" t="s">
        <v>18</v>
      </c>
    </row>
    <row r="103" spans="1:15">
      <c r="B103" s="11" t="s">
        <v>44</v>
      </c>
      <c r="C103" s="36">
        <f>'[1]Plan de compensación'!G45</f>
        <v>1333.3333333333335</v>
      </c>
      <c r="D103" s="36">
        <f>C103</f>
        <v>1333.3333333333335</v>
      </c>
      <c r="E103" s="36">
        <f t="shared" ref="E103:N103" si="39">D103</f>
        <v>1333.3333333333335</v>
      </c>
      <c r="F103" s="36">
        <f t="shared" si="39"/>
        <v>1333.3333333333335</v>
      </c>
      <c r="G103" s="36">
        <f t="shared" si="39"/>
        <v>1333.3333333333335</v>
      </c>
      <c r="H103" s="36">
        <f t="shared" si="39"/>
        <v>1333.3333333333335</v>
      </c>
      <c r="I103" s="36">
        <f t="shared" si="39"/>
        <v>1333.3333333333335</v>
      </c>
      <c r="J103" s="36">
        <f t="shared" si="39"/>
        <v>1333.3333333333335</v>
      </c>
      <c r="K103" s="36">
        <f t="shared" si="39"/>
        <v>1333.3333333333335</v>
      </c>
      <c r="L103" s="36">
        <f t="shared" si="39"/>
        <v>1333.3333333333335</v>
      </c>
      <c r="M103" s="36">
        <f t="shared" si="39"/>
        <v>1333.3333333333335</v>
      </c>
      <c r="N103" s="36">
        <f t="shared" si="39"/>
        <v>1333.3333333333335</v>
      </c>
      <c r="O103" s="39"/>
    </row>
    <row r="104" spans="1:15">
      <c r="A104" s="40"/>
      <c r="B104" s="11" t="s">
        <v>56</v>
      </c>
      <c r="C104" s="36">
        <f>C103*'[1]Plan de compensación'!$H$42</f>
        <v>2000.0000000000002</v>
      </c>
      <c r="D104" s="36">
        <f>D103*'[1]Plan de compensación'!$H$42</f>
        <v>2000.0000000000002</v>
      </c>
      <c r="E104" s="36">
        <f>E103*'[1]Plan de compensación'!$H$42</f>
        <v>2000.0000000000002</v>
      </c>
      <c r="F104" s="36">
        <f>F103*'[1]Plan de compensación'!$H$42</f>
        <v>2000.0000000000002</v>
      </c>
      <c r="G104" s="36">
        <f>G103*'[1]Plan de compensación'!$H$42</f>
        <v>2000.0000000000002</v>
      </c>
      <c r="H104" s="36">
        <f>H103*'[1]Plan de compensación'!$H$42</f>
        <v>2000.0000000000002</v>
      </c>
      <c r="I104" s="36">
        <f>I103*'[1]Plan de compensación'!$H$42</f>
        <v>2000.0000000000002</v>
      </c>
      <c r="J104" s="36">
        <f>J103*'[1]Plan de compensación'!$H$42</f>
        <v>2000.0000000000002</v>
      </c>
      <c r="K104" s="36">
        <f>K103*'[1]Plan de compensación'!$H$42</f>
        <v>2000.0000000000002</v>
      </c>
      <c r="L104" s="36">
        <f>L103*'[1]Plan de compensación'!$H$42</f>
        <v>2000.0000000000002</v>
      </c>
      <c r="M104" s="36">
        <f>M103*'[1]Plan de compensación'!$H$42</f>
        <v>2000.0000000000002</v>
      </c>
      <c r="N104" s="36">
        <f>N103*'[1]Plan de compensación'!$H$42</f>
        <v>2000.0000000000002</v>
      </c>
      <c r="O104" s="39"/>
    </row>
    <row r="105" spans="1:15">
      <c r="B105" s="11" t="s">
        <v>46</v>
      </c>
      <c r="C105" s="37">
        <f>C104</f>
        <v>2000.0000000000002</v>
      </c>
      <c r="D105" s="37">
        <f t="shared" ref="D105:N105" si="40">D104</f>
        <v>2000.0000000000002</v>
      </c>
      <c r="E105" s="37">
        <f t="shared" si="40"/>
        <v>2000.0000000000002</v>
      </c>
      <c r="F105" s="37">
        <f t="shared" si="40"/>
        <v>2000.0000000000002</v>
      </c>
      <c r="G105" s="37">
        <f t="shared" si="40"/>
        <v>2000.0000000000002</v>
      </c>
      <c r="H105" s="37">
        <f t="shared" si="40"/>
        <v>2000.0000000000002</v>
      </c>
      <c r="I105" s="37">
        <f t="shared" si="40"/>
        <v>2000.0000000000002</v>
      </c>
      <c r="J105" s="37">
        <f t="shared" si="40"/>
        <v>2000.0000000000002</v>
      </c>
      <c r="K105" s="37">
        <f t="shared" si="40"/>
        <v>2000.0000000000002</v>
      </c>
      <c r="L105" s="37">
        <f t="shared" si="40"/>
        <v>2000.0000000000002</v>
      </c>
      <c r="M105" s="37">
        <f t="shared" si="40"/>
        <v>2000.0000000000002</v>
      </c>
      <c r="N105" s="37">
        <f t="shared" si="40"/>
        <v>2000.0000000000002</v>
      </c>
      <c r="O105" s="37">
        <f>SUM(C105:N105)</f>
        <v>24000.000000000004</v>
      </c>
    </row>
    <row r="107" spans="1:15" ht="15.75">
      <c r="A107" s="2" t="s">
        <v>57</v>
      </c>
      <c r="B107" s="3" t="s">
        <v>58</v>
      </c>
    </row>
    <row r="109" spans="1:15">
      <c r="A109" s="61" t="s">
        <v>59</v>
      </c>
      <c r="B109" t="s">
        <v>60</v>
      </c>
    </row>
    <row r="111" spans="1:15">
      <c r="A111" s="4"/>
      <c r="B111" s="5" t="s">
        <v>28</v>
      </c>
    </row>
    <row r="112" spans="1:15" s="65" customFormat="1">
      <c r="A112" s="61"/>
      <c r="B112" s="62" t="s">
        <v>22</v>
      </c>
      <c r="C112" s="63"/>
      <c r="D112" s="64">
        <v>0.01</v>
      </c>
      <c r="E112" s="64">
        <f>D112</f>
        <v>0.01</v>
      </c>
      <c r="F112" s="64">
        <v>0.01</v>
      </c>
      <c r="G112" s="64">
        <f t="shared" ref="G112:N112" si="41">F112</f>
        <v>0.01</v>
      </c>
      <c r="H112" s="64">
        <v>0.01</v>
      </c>
      <c r="I112" s="64">
        <f t="shared" si="41"/>
        <v>0.01</v>
      </c>
      <c r="J112" s="64">
        <v>0.02</v>
      </c>
      <c r="K112" s="64">
        <f t="shared" si="41"/>
        <v>0.02</v>
      </c>
      <c r="L112" s="64">
        <f t="shared" si="41"/>
        <v>0.02</v>
      </c>
      <c r="M112" s="64">
        <f t="shared" si="41"/>
        <v>0.02</v>
      </c>
      <c r="N112" s="64">
        <f t="shared" si="41"/>
        <v>0.02</v>
      </c>
    </row>
    <row r="113" spans="1:15">
      <c r="A113" s="4"/>
      <c r="B113" s="7"/>
      <c r="C113" s="8" t="s">
        <v>5</v>
      </c>
      <c r="D113" s="8" t="s">
        <v>6</v>
      </c>
      <c r="E113" s="8" t="s">
        <v>7</v>
      </c>
      <c r="F113" s="8" t="s">
        <v>8</v>
      </c>
      <c r="G113" s="8" t="s">
        <v>9</v>
      </c>
      <c r="H113" s="8" t="s">
        <v>10</v>
      </c>
      <c r="I113" s="8" t="s">
        <v>11</v>
      </c>
      <c r="J113" s="8" t="s">
        <v>12</v>
      </c>
      <c r="K113" s="8" t="s">
        <v>13</v>
      </c>
      <c r="L113" s="8" t="s">
        <v>14</v>
      </c>
      <c r="M113" s="8" t="s">
        <v>15</v>
      </c>
      <c r="N113" s="8" t="s">
        <v>16</v>
      </c>
      <c r="O113" s="8" t="s">
        <v>18</v>
      </c>
    </row>
    <row r="114" spans="1:15">
      <c r="A114" s="4"/>
      <c r="B114" s="9" t="s">
        <v>61</v>
      </c>
      <c r="C114" s="28">
        <v>0</v>
      </c>
      <c r="D114" s="17">
        <v>0</v>
      </c>
      <c r="E114" s="83">
        <v>20</v>
      </c>
      <c r="F114" s="17">
        <f t="shared" ref="F114:N114" si="42">ROUNDUP(E114*(1+F112),0)</f>
        <v>21</v>
      </c>
      <c r="G114" s="17">
        <f t="shared" si="42"/>
        <v>22</v>
      </c>
      <c r="H114" s="17">
        <f t="shared" si="42"/>
        <v>23</v>
      </c>
      <c r="I114" s="83">
        <f t="shared" si="42"/>
        <v>24</v>
      </c>
      <c r="J114" s="17">
        <f t="shared" si="42"/>
        <v>25</v>
      </c>
      <c r="K114" s="17">
        <f t="shared" si="42"/>
        <v>26</v>
      </c>
      <c r="L114" s="17">
        <f t="shared" si="42"/>
        <v>27</v>
      </c>
      <c r="M114" s="17">
        <f t="shared" si="42"/>
        <v>28</v>
      </c>
      <c r="N114" s="17">
        <f t="shared" si="42"/>
        <v>29</v>
      </c>
      <c r="O114" s="18">
        <f>SUM(C114:N114)</f>
        <v>245</v>
      </c>
    </row>
    <row r="115" spans="1:15">
      <c r="A115" s="61">
        <v>6</v>
      </c>
      <c r="B115" s="9" t="s">
        <v>30</v>
      </c>
      <c r="C115" s="17">
        <f t="shared" ref="C115:D115" si="43">C114*$A$115</f>
        <v>0</v>
      </c>
      <c r="D115" s="17">
        <f t="shared" si="43"/>
        <v>0</v>
      </c>
      <c r="E115" s="17">
        <f>E114*$A$115</f>
        <v>120</v>
      </c>
      <c r="F115" s="17">
        <f>F114*$A$115</f>
        <v>126</v>
      </c>
      <c r="G115" s="17">
        <f t="shared" ref="G115:N115" si="44">G114*$A$115</f>
        <v>132</v>
      </c>
      <c r="H115" s="17">
        <f t="shared" si="44"/>
        <v>138</v>
      </c>
      <c r="I115" s="17">
        <f t="shared" si="44"/>
        <v>144</v>
      </c>
      <c r="J115" s="17">
        <f t="shared" si="44"/>
        <v>150</v>
      </c>
      <c r="K115" s="17">
        <f t="shared" si="44"/>
        <v>156</v>
      </c>
      <c r="L115" s="17">
        <f t="shared" si="44"/>
        <v>162</v>
      </c>
      <c r="M115" s="17">
        <f t="shared" si="44"/>
        <v>168</v>
      </c>
      <c r="N115" s="17">
        <f t="shared" si="44"/>
        <v>174</v>
      </c>
      <c r="O115" s="18">
        <f t="shared" ref="O115" si="45">SUM(C115:N115)</f>
        <v>1470</v>
      </c>
    </row>
    <row r="116" spans="1:15">
      <c r="A116" s="4"/>
      <c r="B116" s="5"/>
    </row>
    <row r="117" spans="1:15">
      <c r="A117" s="4"/>
      <c r="B117" s="5" t="s">
        <v>31</v>
      </c>
    </row>
    <row r="118" spans="1:15" s="65" customFormat="1">
      <c r="A118" s="61"/>
      <c r="B118" s="62" t="s">
        <v>22</v>
      </c>
      <c r="C118" s="63"/>
      <c r="D118" s="64">
        <v>0.01</v>
      </c>
      <c r="E118" s="64">
        <f>D118</f>
        <v>0.01</v>
      </c>
      <c r="F118" s="64">
        <v>0.01</v>
      </c>
      <c r="G118" s="64">
        <f t="shared" ref="G118" si="46">F118</f>
        <v>0.01</v>
      </c>
      <c r="H118" s="64">
        <v>0.01</v>
      </c>
      <c r="I118" s="64">
        <f t="shared" ref="I118" si="47">H118</f>
        <v>0.01</v>
      </c>
      <c r="J118" s="64">
        <v>0.02</v>
      </c>
      <c r="K118" s="64">
        <f t="shared" ref="K118:N118" si="48">J118</f>
        <v>0.02</v>
      </c>
      <c r="L118" s="64">
        <f t="shared" si="48"/>
        <v>0.02</v>
      </c>
      <c r="M118" s="64">
        <f t="shared" si="48"/>
        <v>0.02</v>
      </c>
      <c r="N118" s="64">
        <f t="shared" si="48"/>
        <v>0.02</v>
      </c>
    </row>
    <row r="119" spans="1:15">
      <c r="A119" s="4"/>
      <c r="B119" s="7"/>
      <c r="C119" s="8" t="s">
        <v>5</v>
      </c>
      <c r="D119" s="8" t="s">
        <v>6</v>
      </c>
      <c r="E119" s="8" t="s">
        <v>7</v>
      </c>
      <c r="F119" s="8" t="s">
        <v>8</v>
      </c>
      <c r="G119" s="8" t="s">
        <v>9</v>
      </c>
      <c r="H119" s="8" t="s">
        <v>10</v>
      </c>
      <c r="I119" s="8" t="s">
        <v>11</v>
      </c>
      <c r="J119" s="8" t="s">
        <v>12</v>
      </c>
      <c r="K119" s="8" t="s">
        <v>13</v>
      </c>
      <c r="L119" s="8" t="s">
        <v>14</v>
      </c>
      <c r="M119" s="8" t="s">
        <v>15</v>
      </c>
      <c r="N119" s="8" t="s">
        <v>16</v>
      </c>
      <c r="O119" s="8" t="s">
        <v>18</v>
      </c>
    </row>
    <row r="120" spans="1:15">
      <c r="A120" s="4"/>
      <c r="B120" s="9" t="s">
        <v>61</v>
      </c>
      <c r="C120" s="28">
        <v>0</v>
      </c>
      <c r="D120" s="17">
        <v>0</v>
      </c>
      <c r="E120" s="83">
        <v>16</v>
      </c>
      <c r="F120" s="83">
        <f t="shared" ref="F120:N120" si="49">ROUNDUP(E120*(1+F118),0)</f>
        <v>17</v>
      </c>
      <c r="G120" s="83">
        <f t="shared" si="49"/>
        <v>18</v>
      </c>
      <c r="H120" s="83">
        <f t="shared" si="49"/>
        <v>19</v>
      </c>
      <c r="I120" s="83">
        <f t="shared" si="49"/>
        <v>20</v>
      </c>
      <c r="J120" s="17">
        <f t="shared" si="49"/>
        <v>21</v>
      </c>
      <c r="K120" s="17">
        <f t="shared" si="49"/>
        <v>22</v>
      </c>
      <c r="L120" s="17">
        <f t="shared" si="49"/>
        <v>23</v>
      </c>
      <c r="M120" s="17">
        <f t="shared" si="49"/>
        <v>24</v>
      </c>
      <c r="N120" s="17">
        <f t="shared" si="49"/>
        <v>25</v>
      </c>
      <c r="O120" s="18">
        <f>SUM(C120:N120)</f>
        <v>205</v>
      </c>
    </row>
    <row r="121" spans="1:15">
      <c r="A121" s="61">
        <v>6</v>
      </c>
      <c r="B121" s="9" t="s">
        <v>30</v>
      </c>
      <c r="C121" s="17">
        <f>C120*$A$121</f>
        <v>0</v>
      </c>
      <c r="D121" s="17">
        <f t="shared" ref="D121:N121" si="50">D120*$A$121</f>
        <v>0</v>
      </c>
      <c r="E121" s="17">
        <f t="shared" si="50"/>
        <v>96</v>
      </c>
      <c r="F121" s="17">
        <f t="shared" si="50"/>
        <v>102</v>
      </c>
      <c r="G121" s="17">
        <f t="shared" si="50"/>
        <v>108</v>
      </c>
      <c r="H121" s="17">
        <f t="shared" si="50"/>
        <v>114</v>
      </c>
      <c r="I121" s="17">
        <f t="shared" si="50"/>
        <v>120</v>
      </c>
      <c r="J121" s="17">
        <f t="shared" si="50"/>
        <v>126</v>
      </c>
      <c r="K121" s="17">
        <f t="shared" si="50"/>
        <v>132</v>
      </c>
      <c r="L121" s="17">
        <f t="shared" si="50"/>
        <v>138</v>
      </c>
      <c r="M121" s="17">
        <f t="shared" si="50"/>
        <v>144</v>
      </c>
      <c r="N121" s="17">
        <f t="shared" si="50"/>
        <v>150</v>
      </c>
      <c r="O121" s="18">
        <f t="shared" ref="O121" si="51">SUM(C121:N121)</f>
        <v>1230</v>
      </c>
    </row>
    <row r="122" spans="1:15">
      <c r="B122" s="5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30"/>
    </row>
    <row r="123" spans="1:15">
      <c r="A123" s="4"/>
      <c r="B123" s="5" t="s">
        <v>62</v>
      </c>
    </row>
    <row r="124" spans="1:15" s="65" customFormat="1">
      <c r="A124" s="61"/>
      <c r="B124" s="62" t="s">
        <v>22</v>
      </c>
      <c r="C124" s="63"/>
      <c r="D124" s="64"/>
      <c r="E124" s="64"/>
      <c r="F124" s="64"/>
      <c r="G124" s="64"/>
      <c r="H124" s="64"/>
      <c r="I124" s="64"/>
      <c r="J124" s="64"/>
      <c r="K124" s="64"/>
      <c r="L124" s="64"/>
      <c r="M124" s="64"/>
      <c r="N124" s="64"/>
    </row>
    <row r="125" spans="1:15">
      <c r="A125" s="4"/>
      <c r="B125" s="7"/>
      <c r="C125" s="8" t="s">
        <v>5</v>
      </c>
      <c r="D125" s="8" t="s">
        <v>6</v>
      </c>
      <c r="E125" s="8" t="s">
        <v>7</v>
      </c>
      <c r="F125" s="8" t="s">
        <v>8</v>
      </c>
      <c r="G125" s="8" t="s">
        <v>9</v>
      </c>
      <c r="H125" s="8" t="s">
        <v>10</v>
      </c>
      <c r="I125" s="8" t="s">
        <v>11</v>
      </c>
      <c r="J125" s="8" t="s">
        <v>12</v>
      </c>
      <c r="K125" s="8" t="s">
        <v>13</v>
      </c>
      <c r="L125" s="8" t="s">
        <v>14</v>
      </c>
      <c r="M125" s="8" t="s">
        <v>15</v>
      </c>
      <c r="N125" s="8" t="s">
        <v>16</v>
      </c>
      <c r="O125" s="8" t="s">
        <v>18</v>
      </c>
    </row>
    <row r="126" spans="1:15">
      <c r="A126" s="4"/>
      <c r="B126" s="9" t="s">
        <v>61</v>
      </c>
      <c r="C126" s="28">
        <f t="shared" ref="C126:N127" si="52">C114+C120</f>
        <v>0</v>
      </c>
      <c r="D126" s="28">
        <f t="shared" si="52"/>
        <v>0</v>
      </c>
      <c r="E126" s="28">
        <f t="shared" si="52"/>
        <v>36</v>
      </c>
      <c r="F126" s="28">
        <f t="shared" si="52"/>
        <v>38</v>
      </c>
      <c r="G126" s="28">
        <f t="shared" si="52"/>
        <v>40</v>
      </c>
      <c r="H126" s="28">
        <f t="shared" si="52"/>
        <v>42</v>
      </c>
      <c r="I126" s="28">
        <f t="shared" si="52"/>
        <v>44</v>
      </c>
      <c r="J126" s="28">
        <f t="shared" si="52"/>
        <v>46</v>
      </c>
      <c r="K126" s="28">
        <f t="shared" si="52"/>
        <v>48</v>
      </c>
      <c r="L126" s="28">
        <f t="shared" si="52"/>
        <v>50</v>
      </c>
      <c r="M126" s="28">
        <f t="shared" si="52"/>
        <v>52</v>
      </c>
      <c r="N126" s="28">
        <f t="shared" si="52"/>
        <v>54</v>
      </c>
      <c r="O126" s="18">
        <f>SUM(C126:N126)</f>
        <v>450</v>
      </c>
    </row>
    <row r="127" spans="1:15">
      <c r="A127" s="4"/>
      <c r="B127" s="9" t="s">
        <v>30</v>
      </c>
      <c r="C127" s="17">
        <f t="shared" si="52"/>
        <v>0</v>
      </c>
      <c r="D127" s="17">
        <f t="shared" si="52"/>
        <v>0</v>
      </c>
      <c r="E127" s="17">
        <f t="shared" si="52"/>
        <v>216</v>
      </c>
      <c r="F127" s="17">
        <f t="shared" si="52"/>
        <v>228</v>
      </c>
      <c r="G127" s="17">
        <f t="shared" si="52"/>
        <v>240</v>
      </c>
      <c r="H127" s="17">
        <f t="shared" si="52"/>
        <v>252</v>
      </c>
      <c r="I127" s="17">
        <f t="shared" si="52"/>
        <v>264</v>
      </c>
      <c r="J127" s="17">
        <f t="shared" si="52"/>
        <v>276</v>
      </c>
      <c r="K127" s="17">
        <f t="shared" si="52"/>
        <v>288</v>
      </c>
      <c r="L127" s="17">
        <f t="shared" si="52"/>
        <v>300</v>
      </c>
      <c r="M127" s="17">
        <f t="shared" si="52"/>
        <v>312</v>
      </c>
      <c r="N127" s="17">
        <f t="shared" si="52"/>
        <v>324</v>
      </c>
      <c r="O127" s="18">
        <f t="shared" ref="O127:O128" si="53">SUM(C127:N127)</f>
        <v>2700</v>
      </c>
    </row>
    <row r="128" spans="1:15">
      <c r="A128" s="4"/>
      <c r="B128" s="9" t="s">
        <v>33</v>
      </c>
      <c r="C128" s="17">
        <f>C127*750/1000</f>
        <v>0</v>
      </c>
      <c r="D128" s="17">
        <f t="shared" ref="D128:N128" si="54">D127*750/1000</f>
        <v>0</v>
      </c>
      <c r="E128" s="17">
        <f t="shared" si="54"/>
        <v>162</v>
      </c>
      <c r="F128" s="17">
        <f t="shared" si="54"/>
        <v>171</v>
      </c>
      <c r="G128" s="17">
        <f t="shared" si="54"/>
        <v>180</v>
      </c>
      <c r="H128" s="17">
        <f t="shared" si="54"/>
        <v>189</v>
      </c>
      <c r="I128" s="17">
        <f t="shared" si="54"/>
        <v>198</v>
      </c>
      <c r="J128" s="17">
        <f t="shared" si="54"/>
        <v>207</v>
      </c>
      <c r="K128" s="17">
        <f t="shared" si="54"/>
        <v>216</v>
      </c>
      <c r="L128" s="17">
        <f t="shared" si="54"/>
        <v>225</v>
      </c>
      <c r="M128" s="17">
        <f t="shared" si="54"/>
        <v>234</v>
      </c>
      <c r="N128" s="17">
        <f t="shared" si="54"/>
        <v>243</v>
      </c>
      <c r="O128" s="84">
        <f t="shared" si="53"/>
        <v>2025</v>
      </c>
    </row>
    <row r="130" spans="1:15">
      <c r="A130" s="61" t="s">
        <v>63</v>
      </c>
      <c r="B130" s="5" t="s">
        <v>35</v>
      </c>
    </row>
    <row r="131" spans="1:15">
      <c r="A131" s="61"/>
      <c r="B131" s="7"/>
      <c r="C131" s="8" t="s">
        <v>5</v>
      </c>
      <c r="D131" s="8" t="s">
        <v>6</v>
      </c>
      <c r="E131" s="8" t="s">
        <v>7</v>
      </c>
      <c r="F131" s="8" t="s">
        <v>8</v>
      </c>
      <c r="G131" s="8" t="s">
        <v>9</v>
      </c>
      <c r="H131" s="8" t="s">
        <v>10</v>
      </c>
      <c r="I131" s="8" t="s">
        <v>11</v>
      </c>
      <c r="J131" s="8" t="s">
        <v>12</v>
      </c>
      <c r="K131" s="8" t="s">
        <v>13</v>
      </c>
      <c r="L131" s="8" t="s">
        <v>14</v>
      </c>
      <c r="M131" s="8" t="s">
        <v>15</v>
      </c>
      <c r="N131" s="8" t="s">
        <v>16</v>
      </c>
      <c r="O131" s="33"/>
    </row>
    <row r="132" spans="1:15">
      <c r="A132" s="65"/>
      <c r="B132" s="11" t="s">
        <v>36</v>
      </c>
      <c r="C132" s="34">
        <v>38</v>
      </c>
      <c r="D132" s="35">
        <f>C132</f>
        <v>38</v>
      </c>
      <c r="E132" s="35">
        <f t="shared" ref="E132:N133" si="55">D132</f>
        <v>38</v>
      </c>
      <c r="F132" s="35">
        <f t="shared" si="55"/>
        <v>38</v>
      </c>
      <c r="G132" s="35">
        <f t="shared" si="55"/>
        <v>38</v>
      </c>
      <c r="H132" s="35">
        <f t="shared" si="55"/>
        <v>38</v>
      </c>
      <c r="I132" s="35">
        <f t="shared" si="55"/>
        <v>38</v>
      </c>
      <c r="J132" s="35">
        <f t="shared" si="55"/>
        <v>38</v>
      </c>
      <c r="K132" s="35">
        <f t="shared" si="55"/>
        <v>38</v>
      </c>
      <c r="L132" s="35">
        <f t="shared" si="55"/>
        <v>38</v>
      </c>
      <c r="M132" s="35">
        <f t="shared" si="55"/>
        <v>38</v>
      </c>
      <c r="N132" s="35">
        <f t="shared" si="55"/>
        <v>38</v>
      </c>
    </row>
    <row r="133" spans="1:15">
      <c r="A133" s="65"/>
      <c r="B133" s="11" t="s">
        <v>37</v>
      </c>
      <c r="C133" s="34">
        <v>38</v>
      </c>
      <c r="D133" s="35">
        <f>C133</f>
        <v>38</v>
      </c>
      <c r="E133" s="35">
        <f t="shared" si="55"/>
        <v>38</v>
      </c>
      <c r="F133" s="35">
        <f t="shared" si="55"/>
        <v>38</v>
      </c>
      <c r="G133" s="35">
        <f t="shared" si="55"/>
        <v>38</v>
      </c>
      <c r="H133" s="35">
        <f t="shared" si="55"/>
        <v>38</v>
      </c>
      <c r="I133" s="35">
        <f t="shared" si="55"/>
        <v>38</v>
      </c>
      <c r="J133" s="35">
        <f t="shared" si="55"/>
        <v>38</v>
      </c>
      <c r="K133" s="35">
        <f t="shared" si="55"/>
        <v>38</v>
      </c>
      <c r="L133" s="35">
        <f t="shared" si="55"/>
        <v>38</v>
      </c>
      <c r="M133" s="35">
        <f t="shared" si="55"/>
        <v>38</v>
      </c>
      <c r="N133" s="35">
        <f t="shared" si="55"/>
        <v>38</v>
      </c>
    </row>
    <row r="134" spans="1:15">
      <c r="A134" s="65"/>
    </row>
    <row r="135" spans="1:15">
      <c r="A135" s="61" t="s">
        <v>64</v>
      </c>
      <c r="B135" s="5" t="s">
        <v>39</v>
      </c>
    </row>
    <row r="136" spans="1:15">
      <c r="B136" s="7"/>
      <c r="C136" s="8" t="s">
        <v>5</v>
      </c>
      <c r="D136" s="8" t="s">
        <v>6</v>
      </c>
      <c r="E136" s="8" t="s">
        <v>7</v>
      </c>
      <c r="F136" s="8" t="s">
        <v>8</v>
      </c>
      <c r="G136" s="8" t="s">
        <v>9</v>
      </c>
      <c r="H136" s="8" t="s">
        <v>10</v>
      </c>
      <c r="I136" s="8" t="s">
        <v>11</v>
      </c>
      <c r="J136" s="8" t="s">
        <v>12</v>
      </c>
      <c r="K136" s="8" t="s">
        <v>13</v>
      </c>
      <c r="L136" s="8" t="s">
        <v>14</v>
      </c>
      <c r="M136" s="8" t="s">
        <v>15</v>
      </c>
      <c r="N136" s="8" t="s">
        <v>16</v>
      </c>
      <c r="O136" s="8" t="s">
        <v>18</v>
      </c>
    </row>
    <row r="137" spans="1:15">
      <c r="B137" s="11" t="s">
        <v>40</v>
      </c>
      <c r="C137" s="36">
        <f>C115*C132</f>
        <v>0</v>
      </c>
      <c r="D137" s="36">
        <f t="shared" ref="D137:N137" si="56">D115*D132</f>
        <v>0</v>
      </c>
      <c r="E137" s="36">
        <f t="shared" si="56"/>
        <v>4560</v>
      </c>
      <c r="F137" s="36">
        <f t="shared" si="56"/>
        <v>4788</v>
      </c>
      <c r="G137" s="36">
        <f t="shared" si="56"/>
        <v>5016</v>
      </c>
      <c r="H137" s="36">
        <f t="shared" si="56"/>
        <v>5244</v>
      </c>
      <c r="I137" s="36">
        <f t="shared" si="56"/>
        <v>5472</v>
      </c>
      <c r="J137" s="36">
        <f t="shared" si="56"/>
        <v>5700</v>
      </c>
      <c r="K137" s="36">
        <f t="shared" si="56"/>
        <v>5928</v>
      </c>
      <c r="L137" s="36">
        <f t="shared" si="56"/>
        <v>6156</v>
      </c>
      <c r="M137" s="36">
        <f t="shared" si="56"/>
        <v>6384</v>
      </c>
      <c r="N137" s="36">
        <f t="shared" si="56"/>
        <v>6612</v>
      </c>
      <c r="O137" s="36">
        <f>SUM(C137:N137)</f>
        <v>55860</v>
      </c>
    </row>
    <row r="138" spans="1:15">
      <c r="B138" s="11" t="s">
        <v>41</v>
      </c>
      <c r="C138" s="36">
        <f>C121*C133</f>
        <v>0</v>
      </c>
      <c r="D138" s="36">
        <f t="shared" ref="D138:N138" si="57">D121*D133</f>
        <v>0</v>
      </c>
      <c r="E138" s="36">
        <f t="shared" si="57"/>
        <v>3648</v>
      </c>
      <c r="F138" s="36">
        <f t="shared" si="57"/>
        <v>3876</v>
      </c>
      <c r="G138" s="36">
        <f t="shared" si="57"/>
        <v>4104</v>
      </c>
      <c r="H138" s="36">
        <f t="shared" si="57"/>
        <v>4332</v>
      </c>
      <c r="I138" s="36">
        <f t="shared" si="57"/>
        <v>4560</v>
      </c>
      <c r="J138" s="36">
        <f t="shared" si="57"/>
        <v>4788</v>
      </c>
      <c r="K138" s="36">
        <f t="shared" si="57"/>
        <v>5016</v>
      </c>
      <c r="L138" s="36">
        <f t="shared" si="57"/>
        <v>5244</v>
      </c>
      <c r="M138" s="36">
        <f t="shared" si="57"/>
        <v>5472</v>
      </c>
      <c r="N138" s="36">
        <f t="shared" si="57"/>
        <v>5700</v>
      </c>
      <c r="O138" s="36">
        <f>SUM(C138:N138)</f>
        <v>46740</v>
      </c>
    </row>
    <row r="139" spans="1:15" s="5" customFormat="1">
      <c r="B139" s="11" t="s">
        <v>18</v>
      </c>
      <c r="C139" s="37">
        <f>SUM(C137:C138)</f>
        <v>0</v>
      </c>
      <c r="D139" s="37">
        <f t="shared" ref="D139:O139" si="58">SUM(D137:D138)</f>
        <v>0</v>
      </c>
      <c r="E139" s="37">
        <f t="shared" si="58"/>
        <v>8208</v>
      </c>
      <c r="F139" s="37">
        <f t="shared" si="58"/>
        <v>8664</v>
      </c>
      <c r="G139" s="37">
        <f t="shared" si="58"/>
        <v>9120</v>
      </c>
      <c r="H139" s="37">
        <f t="shared" si="58"/>
        <v>9576</v>
      </c>
      <c r="I139" s="37">
        <f t="shared" si="58"/>
        <v>10032</v>
      </c>
      <c r="J139" s="37">
        <f t="shared" si="58"/>
        <v>10488</v>
      </c>
      <c r="K139" s="37">
        <f t="shared" si="58"/>
        <v>10944</v>
      </c>
      <c r="L139" s="37">
        <f t="shared" si="58"/>
        <v>11400</v>
      </c>
      <c r="M139" s="37">
        <f t="shared" si="58"/>
        <v>11856</v>
      </c>
      <c r="N139" s="37">
        <f t="shared" si="58"/>
        <v>12312</v>
      </c>
      <c r="O139" s="37">
        <f t="shared" si="58"/>
        <v>102600</v>
      </c>
    </row>
    <row r="141" spans="1:15" hidden="1">
      <c r="A141" s="4" t="s">
        <v>65</v>
      </c>
      <c r="B141" s="5" t="s">
        <v>66</v>
      </c>
    </row>
    <row r="142" spans="1:15" hidden="1">
      <c r="B142" s="7"/>
      <c r="C142" s="8" t="s">
        <v>5</v>
      </c>
      <c r="D142" s="8" t="s">
        <v>6</v>
      </c>
      <c r="E142" s="8" t="s">
        <v>7</v>
      </c>
      <c r="F142" s="8" t="s">
        <v>8</v>
      </c>
      <c r="G142" s="8" t="s">
        <v>9</v>
      </c>
      <c r="H142" s="8" t="s">
        <v>10</v>
      </c>
      <c r="I142" s="8" t="s">
        <v>11</v>
      </c>
      <c r="J142" s="8" t="s">
        <v>12</v>
      </c>
      <c r="K142" s="8" t="s">
        <v>13</v>
      </c>
      <c r="L142" s="8" t="s">
        <v>14</v>
      </c>
      <c r="M142" s="8" t="s">
        <v>15</v>
      </c>
      <c r="N142" s="8" t="s">
        <v>16</v>
      </c>
      <c r="O142" s="8" t="s">
        <v>18</v>
      </c>
    </row>
    <row r="143" spans="1:15" hidden="1">
      <c r="B143" s="11" t="s">
        <v>44</v>
      </c>
      <c r="C143" s="36">
        <v>0</v>
      </c>
      <c r="D143" s="36">
        <v>0</v>
      </c>
      <c r="E143" s="36">
        <v>0</v>
      </c>
      <c r="F143" s="36">
        <v>0</v>
      </c>
      <c r="G143" s="36">
        <v>0</v>
      </c>
      <c r="H143" s="36">
        <v>0</v>
      </c>
      <c r="I143" s="36">
        <v>0</v>
      </c>
      <c r="J143" s="36">
        <v>0</v>
      </c>
      <c r="K143" s="36">
        <v>0</v>
      </c>
      <c r="L143" s="36">
        <v>0</v>
      </c>
      <c r="M143" s="36">
        <v>0</v>
      </c>
      <c r="N143" s="36">
        <v>0</v>
      </c>
      <c r="O143" s="39"/>
    </row>
    <row r="144" spans="1:15" hidden="1">
      <c r="A144" s="40"/>
      <c r="B144" s="11" t="s">
        <v>56</v>
      </c>
      <c r="C144" s="36">
        <v>0</v>
      </c>
      <c r="D144" s="36">
        <v>0</v>
      </c>
      <c r="E144" s="36">
        <v>0</v>
      </c>
      <c r="F144" s="36">
        <v>0</v>
      </c>
      <c r="G144" s="36">
        <v>0</v>
      </c>
      <c r="H144" s="36">
        <v>0</v>
      </c>
      <c r="I144" s="36">
        <v>0</v>
      </c>
      <c r="J144" s="36">
        <v>0</v>
      </c>
      <c r="K144" s="36">
        <v>0</v>
      </c>
      <c r="L144" s="36">
        <v>0</v>
      </c>
      <c r="M144" s="36">
        <v>0</v>
      </c>
      <c r="N144" s="36">
        <v>0</v>
      </c>
      <c r="O144" s="39"/>
    </row>
    <row r="145" spans="1:18" hidden="1">
      <c r="B145" s="11" t="s">
        <v>46</v>
      </c>
      <c r="C145" s="37">
        <f>C144</f>
        <v>0</v>
      </c>
      <c r="D145" s="37">
        <f t="shared" ref="D145:N145" si="59">D144</f>
        <v>0</v>
      </c>
      <c r="E145" s="37">
        <f t="shared" si="59"/>
        <v>0</v>
      </c>
      <c r="F145" s="37">
        <f t="shared" si="59"/>
        <v>0</v>
      </c>
      <c r="G145" s="37">
        <f t="shared" si="59"/>
        <v>0</v>
      </c>
      <c r="H145" s="37">
        <f t="shared" si="59"/>
        <v>0</v>
      </c>
      <c r="I145" s="37">
        <f t="shared" si="59"/>
        <v>0</v>
      </c>
      <c r="J145" s="37">
        <f t="shared" si="59"/>
        <v>0</v>
      </c>
      <c r="K145" s="37">
        <f t="shared" si="59"/>
        <v>0</v>
      </c>
      <c r="L145" s="37">
        <f t="shared" si="59"/>
        <v>0</v>
      </c>
      <c r="M145" s="37">
        <f t="shared" si="59"/>
        <v>0</v>
      </c>
      <c r="N145" s="37">
        <f t="shared" si="59"/>
        <v>0</v>
      </c>
      <c r="O145" s="37">
        <f>SUM(C145:N145)</f>
        <v>0</v>
      </c>
    </row>
    <row r="146" spans="1:18" hidden="1"/>
    <row r="147" spans="1:18" hidden="1"/>
    <row r="148" spans="1:18" hidden="1"/>
    <row r="149" spans="1:18" hidden="1"/>
    <row r="151" spans="1:18" ht="15.75">
      <c r="A151" s="66" t="s">
        <v>57</v>
      </c>
      <c r="B151" s="42" t="s">
        <v>67</v>
      </c>
    </row>
    <row r="152" spans="1:18" ht="15.75">
      <c r="A152" s="41"/>
      <c r="B152" s="42"/>
    </row>
    <row r="153" spans="1:18">
      <c r="B153" s="7"/>
      <c r="C153" s="8" t="s">
        <v>5</v>
      </c>
      <c r="D153" s="8" t="s">
        <v>6</v>
      </c>
      <c r="E153" s="8" t="s">
        <v>7</v>
      </c>
      <c r="F153" s="8" t="s">
        <v>8</v>
      </c>
      <c r="G153" s="8" t="s">
        <v>9</v>
      </c>
      <c r="H153" s="8" t="s">
        <v>10</v>
      </c>
      <c r="I153" s="8" t="s">
        <v>11</v>
      </c>
      <c r="J153" s="8" t="s">
        <v>12</v>
      </c>
      <c r="K153" s="8" t="s">
        <v>13</v>
      </c>
      <c r="L153" s="8" t="s">
        <v>14</v>
      </c>
      <c r="M153" s="8" t="s">
        <v>15</v>
      </c>
      <c r="N153" s="8" t="s">
        <v>16</v>
      </c>
      <c r="O153" s="8" t="s">
        <v>18</v>
      </c>
    </row>
    <row r="154" spans="1:18">
      <c r="B154" s="11" t="s">
        <v>68</v>
      </c>
      <c r="C154" s="43">
        <f>C46+C86</f>
        <v>350</v>
      </c>
      <c r="D154" s="43">
        <f t="shared" ref="D154:N154" si="60">D46+D86</f>
        <v>362</v>
      </c>
      <c r="E154" s="43">
        <f t="shared" si="60"/>
        <v>374</v>
      </c>
      <c r="F154" s="43">
        <f t="shared" si="60"/>
        <v>388</v>
      </c>
      <c r="G154" s="43">
        <f t="shared" si="60"/>
        <v>402</v>
      </c>
      <c r="H154" s="43">
        <f t="shared" si="60"/>
        <v>418</v>
      </c>
      <c r="I154" s="43">
        <f t="shared" si="60"/>
        <v>434</v>
      </c>
      <c r="J154" s="43">
        <f t="shared" si="60"/>
        <v>450</v>
      </c>
      <c r="K154" s="43">
        <f t="shared" si="60"/>
        <v>466</v>
      </c>
      <c r="L154" s="43">
        <f t="shared" si="60"/>
        <v>484</v>
      </c>
      <c r="M154" s="43">
        <f t="shared" si="60"/>
        <v>502</v>
      </c>
      <c r="N154" s="43">
        <f t="shared" si="60"/>
        <v>522</v>
      </c>
      <c r="O154" s="43">
        <f t="shared" ref="O154:O159" si="61">SUM(C154:N154)</f>
        <v>5152</v>
      </c>
      <c r="Q154" s="44"/>
    </row>
    <row r="155" spans="1:18">
      <c r="B155" s="11" t="s">
        <v>69</v>
      </c>
      <c r="C155" s="43">
        <f>C126</f>
        <v>0</v>
      </c>
      <c r="D155" s="43">
        <f t="shared" ref="D155:N155" si="62">D126</f>
        <v>0</v>
      </c>
      <c r="E155" s="43">
        <f t="shared" si="62"/>
        <v>36</v>
      </c>
      <c r="F155" s="43">
        <f t="shared" si="62"/>
        <v>38</v>
      </c>
      <c r="G155" s="43">
        <f t="shared" si="62"/>
        <v>40</v>
      </c>
      <c r="H155" s="43">
        <f t="shared" si="62"/>
        <v>42</v>
      </c>
      <c r="I155" s="43">
        <f t="shared" si="62"/>
        <v>44</v>
      </c>
      <c r="J155" s="43">
        <f t="shared" si="62"/>
        <v>46</v>
      </c>
      <c r="K155" s="43">
        <f t="shared" si="62"/>
        <v>48</v>
      </c>
      <c r="L155" s="43">
        <f t="shared" si="62"/>
        <v>50</v>
      </c>
      <c r="M155" s="43">
        <f t="shared" si="62"/>
        <v>52</v>
      </c>
      <c r="N155" s="43">
        <f t="shared" si="62"/>
        <v>54</v>
      </c>
      <c r="O155" s="43">
        <f t="shared" si="61"/>
        <v>450</v>
      </c>
      <c r="P155" s="45"/>
      <c r="Q155" s="44"/>
    </row>
    <row r="156" spans="1:18">
      <c r="B156" s="11" t="s">
        <v>70</v>
      </c>
      <c r="C156" s="43">
        <f>C47+C87+C127</f>
        <v>4200</v>
      </c>
      <c r="D156" s="43">
        <f t="shared" ref="D156:N157" si="63">D47+D87+D127</f>
        <v>4344</v>
      </c>
      <c r="E156" s="43">
        <f t="shared" si="63"/>
        <v>4704</v>
      </c>
      <c r="F156" s="43">
        <f t="shared" si="63"/>
        <v>4884</v>
      </c>
      <c r="G156" s="43">
        <f t="shared" si="63"/>
        <v>5064</v>
      </c>
      <c r="H156" s="43">
        <f t="shared" si="63"/>
        <v>5268</v>
      </c>
      <c r="I156" s="43">
        <f t="shared" si="63"/>
        <v>5472</v>
      </c>
      <c r="J156" s="43">
        <f t="shared" si="63"/>
        <v>5676</v>
      </c>
      <c r="K156" s="43">
        <f t="shared" si="63"/>
        <v>5880</v>
      </c>
      <c r="L156" s="43">
        <f t="shared" si="63"/>
        <v>6108</v>
      </c>
      <c r="M156" s="43">
        <f t="shared" si="63"/>
        <v>6336</v>
      </c>
      <c r="N156" s="43">
        <f t="shared" si="63"/>
        <v>6588</v>
      </c>
      <c r="O156" s="43">
        <f t="shared" si="61"/>
        <v>64524</v>
      </c>
      <c r="P156" s="46"/>
      <c r="Q156" s="44"/>
    </row>
    <row r="157" spans="1:18">
      <c r="B157" s="11" t="s">
        <v>71</v>
      </c>
      <c r="C157" s="43">
        <f>C48+C88+C128</f>
        <v>3150</v>
      </c>
      <c r="D157" s="43">
        <f t="shared" si="63"/>
        <v>3258</v>
      </c>
      <c r="E157" s="43">
        <f t="shared" si="63"/>
        <v>3528</v>
      </c>
      <c r="F157" s="43">
        <f t="shared" si="63"/>
        <v>3663</v>
      </c>
      <c r="G157" s="43">
        <f t="shared" si="63"/>
        <v>3798</v>
      </c>
      <c r="H157" s="43">
        <f t="shared" si="63"/>
        <v>3951</v>
      </c>
      <c r="I157" s="43">
        <f t="shared" si="63"/>
        <v>4104</v>
      </c>
      <c r="J157" s="43">
        <f t="shared" si="63"/>
        <v>4257</v>
      </c>
      <c r="K157" s="43">
        <f t="shared" si="63"/>
        <v>4410</v>
      </c>
      <c r="L157" s="43">
        <f t="shared" si="63"/>
        <v>4581</v>
      </c>
      <c r="M157" s="43">
        <f t="shared" si="63"/>
        <v>4752</v>
      </c>
      <c r="N157" s="43">
        <f t="shared" si="63"/>
        <v>4941</v>
      </c>
      <c r="O157" s="43">
        <f t="shared" si="61"/>
        <v>48393</v>
      </c>
      <c r="P157" s="46"/>
      <c r="Q157" s="44"/>
      <c r="R157">
        <f>+O157/8000000</f>
        <v>6.0491249999999998E-3</v>
      </c>
    </row>
    <row r="158" spans="1:18">
      <c r="B158" s="11" t="s">
        <v>72</v>
      </c>
      <c r="C158" s="36">
        <f>C59</f>
        <v>91963.983050847441</v>
      </c>
      <c r="D158" s="36">
        <f t="shared" ref="D158:N158" si="64">D59</f>
        <v>95248.411016949132</v>
      </c>
      <c r="E158" s="36">
        <f t="shared" si="64"/>
        <v>98532.838983050839</v>
      </c>
      <c r="F158" s="36">
        <f t="shared" si="64"/>
        <v>101817.26694915253</v>
      </c>
      <c r="G158" s="36">
        <f t="shared" si="64"/>
        <v>105101.69491525422</v>
      </c>
      <c r="H158" s="36">
        <f t="shared" si="64"/>
        <v>108386.12288135591</v>
      </c>
      <c r="I158" s="36">
        <f t="shared" si="64"/>
        <v>111670.55084745761</v>
      </c>
      <c r="J158" s="36">
        <f t="shared" si="64"/>
        <v>114954.9788135593</v>
      </c>
      <c r="K158" s="36">
        <f t="shared" si="64"/>
        <v>118239.406779661</v>
      </c>
      <c r="L158" s="36">
        <f t="shared" si="64"/>
        <v>121523.8347457627</v>
      </c>
      <c r="M158" s="36">
        <f t="shared" si="64"/>
        <v>124808.26271186439</v>
      </c>
      <c r="N158" s="36">
        <f t="shared" si="64"/>
        <v>128092.69067796608</v>
      </c>
      <c r="O158" s="36">
        <f t="shared" si="61"/>
        <v>1320340.042372881</v>
      </c>
      <c r="P158" s="47"/>
      <c r="Q158" s="44"/>
    </row>
    <row r="159" spans="1:18">
      <c r="B159" s="11" t="s">
        <v>73</v>
      </c>
      <c r="C159" s="36">
        <f>C99</f>
        <v>29390.417209908737</v>
      </c>
      <c r="D159" s="36">
        <f t="shared" ref="D159:N159" si="65">D99</f>
        <v>30230.143415906132</v>
      </c>
      <c r="E159" s="36">
        <f t="shared" si="65"/>
        <v>31069.869621903523</v>
      </c>
      <c r="F159" s="36">
        <f t="shared" si="65"/>
        <v>32749.322033898308</v>
      </c>
      <c r="G159" s="36">
        <f t="shared" si="65"/>
        <v>34428.77444589309</v>
      </c>
      <c r="H159" s="36">
        <f t="shared" si="65"/>
        <v>36947.953063885274</v>
      </c>
      <c r="I159" s="36">
        <f t="shared" si="65"/>
        <v>39467.13168187745</v>
      </c>
      <c r="J159" s="36">
        <f t="shared" si="65"/>
        <v>41986.310299869627</v>
      </c>
      <c r="K159" s="36">
        <f t="shared" si="65"/>
        <v>44505.488917861803</v>
      </c>
      <c r="L159" s="36">
        <f t="shared" si="65"/>
        <v>47864.393741851374</v>
      </c>
      <c r="M159" s="36">
        <f t="shared" si="65"/>
        <v>51223.298565840945</v>
      </c>
      <c r="N159" s="36">
        <f t="shared" si="65"/>
        <v>55421.929595827904</v>
      </c>
      <c r="O159" s="36">
        <f t="shared" si="61"/>
        <v>475285.03259452421</v>
      </c>
      <c r="P159" s="47"/>
      <c r="Q159" s="44"/>
    </row>
    <row r="160" spans="1:18">
      <c r="B160" s="11" t="s">
        <v>74</v>
      </c>
      <c r="C160" s="36">
        <f>C139</f>
        <v>0</v>
      </c>
      <c r="D160" s="36">
        <f t="shared" ref="D160:O160" si="66">D139</f>
        <v>0</v>
      </c>
      <c r="E160" s="36">
        <f t="shared" si="66"/>
        <v>8208</v>
      </c>
      <c r="F160" s="36">
        <f t="shared" si="66"/>
        <v>8664</v>
      </c>
      <c r="G160" s="36">
        <f t="shared" si="66"/>
        <v>9120</v>
      </c>
      <c r="H160" s="36">
        <f t="shared" si="66"/>
        <v>9576</v>
      </c>
      <c r="I160" s="36">
        <f t="shared" si="66"/>
        <v>10032</v>
      </c>
      <c r="J160" s="36">
        <f t="shared" si="66"/>
        <v>10488</v>
      </c>
      <c r="K160" s="36">
        <f t="shared" si="66"/>
        <v>10944</v>
      </c>
      <c r="L160" s="36">
        <f t="shared" si="66"/>
        <v>11400</v>
      </c>
      <c r="M160" s="36">
        <f t="shared" si="66"/>
        <v>11856</v>
      </c>
      <c r="N160" s="36">
        <f t="shared" si="66"/>
        <v>12312</v>
      </c>
      <c r="O160" s="36">
        <f t="shared" si="66"/>
        <v>102600</v>
      </c>
      <c r="P160" s="47"/>
      <c r="Q160" s="44"/>
    </row>
    <row r="161" spans="1:18" s="5" customFormat="1">
      <c r="B161" s="11" t="s">
        <v>75</v>
      </c>
      <c r="C161" s="37">
        <f>SUM(C158:C160)</f>
        <v>121354.40026075617</v>
      </c>
      <c r="D161" s="37">
        <f t="shared" ref="D161:O161" si="67">SUM(D158:D160)</f>
        <v>125478.55443285526</v>
      </c>
      <c r="E161" s="37">
        <f t="shared" si="67"/>
        <v>137810.70860495436</v>
      </c>
      <c r="F161" s="37">
        <f t="shared" si="67"/>
        <v>143230.58898305084</v>
      </c>
      <c r="G161" s="37">
        <f t="shared" si="67"/>
        <v>148650.46936114732</v>
      </c>
      <c r="H161" s="37">
        <f t="shared" si="67"/>
        <v>154910.0759452412</v>
      </c>
      <c r="I161" s="37">
        <f t="shared" si="67"/>
        <v>161169.68252933506</v>
      </c>
      <c r="J161" s="37">
        <f t="shared" si="67"/>
        <v>167429.28911342891</v>
      </c>
      <c r="K161" s="37">
        <f t="shared" si="67"/>
        <v>173688.89569752279</v>
      </c>
      <c r="L161" s="37">
        <f t="shared" si="67"/>
        <v>180788.22848761408</v>
      </c>
      <c r="M161" s="37">
        <f t="shared" si="67"/>
        <v>187887.56127770533</v>
      </c>
      <c r="N161" s="37">
        <f t="shared" si="67"/>
        <v>195826.62027379399</v>
      </c>
      <c r="O161" s="37">
        <f t="shared" si="67"/>
        <v>1898225.0749674053</v>
      </c>
      <c r="P161" s="48"/>
      <c r="Q161" s="48"/>
    </row>
    <row r="162" spans="1:18">
      <c r="P162" s="44"/>
      <c r="Q162" s="44"/>
    </row>
    <row r="163" spans="1:18" ht="15.75">
      <c r="A163" s="66" t="s">
        <v>76</v>
      </c>
      <c r="B163" s="42" t="s">
        <v>77</v>
      </c>
      <c r="P163" s="44"/>
      <c r="Q163" s="44"/>
    </row>
    <row r="164" spans="1:18">
      <c r="O164" s="38"/>
      <c r="Q164" s="44"/>
    </row>
    <row r="165" spans="1:18">
      <c r="B165" s="7"/>
      <c r="C165" s="8" t="s">
        <v>5</v>
      </c>
      <c r="D165" s="8" t="s">
        <v>6</v>
      </c>
      <c r="E165" s="8" t="s">
        <v>7</v>
      </c>
      <c r="F165" s="8" t="s">
        <v>8</v>
      </c>
      <c r="G165" s="8" t="s">
        <v>9</v>
      </c>
      <c r="H165" s="8" t="s">
        <v>10</v>
      </c>
      <c r="I165" s="8" t="s">
        <v>11</v>
      </c>
      <c r="J165" s="8" t="s">
        <v>12</v>
      </c>
      <c r="K165" s="8" t="s">
        <v>13</v>
      </c>
      <c r="L165" s="8" t="s">
        <v>14</v>
      </c>
      <c r="M165" s="8" t="s">
        <v>15</v>
      </c>
      <c r="N165" s="8" t="s">
        <v>16</v>
      </c>
      <c r="O165" s="8" t="s">
        <v>18</v>
      </c>
      <c r="Q165" s="44"/>
    </row>
    <row r="166" spans="1:18">
      <c r="B166" s="11" t="s">
        <v>78</v>
      </c>
      <c r="C166" s="67">
        <f>+'[1]Costo de Comprar'!F41</f>
        <v>15.181433333333334</v>
      </c>
      <c r="D166" s="50">
        <f>C166</f>
        <v>15.181433333333334</v>
      </c>
      <c r="E166" s="50">
        <f t="shared" ref="E166:N169" si="68">D166</f>
        <v>15.181433333333334</v>
      </c>
      <c r="F166" s="50">
        <f t="shared" si="68"/>
        <v>15.181433333333334</v>
      </c>
      <c r="G166" s="50">
        <f t="shared" si="68"/>
        <v>15.181433333333334</v>
      </c>
      <c r="H166" s="50">
        <f t="shared" si="68"/>
        <v>15.181433333333334</v>
      </c>
      <c r="I166" s="50">
        <f t="shared" si="68"/>
        <v>15.181433333333334</v>
      </c>
      <c r="J166" s="50">
        <f t="shared" si="68"/>
        <v>15.181433333333334</v>
      </c>
      <c r="K166" s="50">
        <f t="shared" si="68"/>
        <v>15.181433333333334</v>
      </c>
      <c r="L166" s="50">
        <f t="shared" si="68"/>
        <v>15.181433333333334</v>
      </c>
      <c r="M166" s="50">
        <f t="shared" si="68"/>
        <v>15.181433333333334</v>
      </c>
      <c r="N166" s="50">
        <f t="shared" si="68"/>
        <v>15.181433333333334</v>
      </c>
      <c r="O166" s="51"/>
      <c r="Q166" s="44"/>
    </row>
    <row r="167" spans="1:18">
      <c r="B167" s="11" t="s">
        <v>79</v>
      </c>
      <c r="C167" s="67">
        <f>+'[1]Costo de Comprar'!F20</f>
        <v>14.431433333333334</v>
      </c>
      <c r="D167" s="50">
        <f>C167</f>
        <v>14.431433333333334</v>
      </c>
      <c r="E167" s="50">
        <f t="shared" si="68"/>
        <v>14.431433333333334</v>
      </c>
      <c r="F167" s="50">
        <f t="shared" si="68"/>
        <v>14.431433333333334</v>
      </c>
      <c r="G167" s="50">
        <f t="shared" si="68"/>
        <v>14.431433333333334</v>
      </c>
      <c r="H167" s="50">
        <f t="shared" si="68"/>
        <v>14.431433333333334</v>
      </c>
      <c r="I167" s="50">
        <f t="shared" si="68"/>
        <v>14.431433333333334</v>
      </c>
      <c r="J167" s="50">
        <f t="shared" si="68"/>
        <v>14.431433333333334</v>
      </c>
      <c r="K167" s="50">
        <f t="shared" si="68"/>
        <v>14.431433333333334</v>
      </c>
      <c r="L167" s="50">
        <f t="shared" si="68"/>
        <v>14.431433333333334</v>
      </c>
      <c r="M167" s="50">
        <f t="shared" si="68"/>
        <v>14.431433333333334</v>
      </c>
      <c r="N167" s="50">
        <f t="shared" si="68"/>
        <v>14.431433333333334</v>
      </c>
      <c r="O167" s="51"/>
      <c r="Q167" s="44"/>
    </row>
    <row r="168" spans="1:18">
      <c r="B168" s="11" t="s">
        <v>80</v>
      </c>
      <c r="C168" s="67">
        <f>+'[1]Costo de Comprar'!M41</f>
        <v>18.739766666666672</v>
      </c>
      <c r="D168" s="50">
        <f t="shared" ref="D168:D169" si="69">C168</f>
        <v>18.739766666666672</v>
      </c>
      <c r="E168" s="50">
        <f t="shared" si="68"/>
        <v>18.739766666666672</v>
      </c>
      <c r="F168" s="50">
        <f t="shared" si="68"/>
        <v>18.739766666666672</v>
      </c>
      <c r="G168" s="50">
        <f t="shared" si="68"/>
        <v>18.739766666666672</v>
      </c>
      <c r="H168" s="50">
        <f t="shared" si="68"/>
        <v>18.739766666666672</v>
      </c>
      <c r="I168" s="50">
        <f t="shared" si="68"/>
        <v>18.739766666666672</v>
      </c>
      <c r="J168" s="50">
        <f t="shared" si="68"/>
        <v>18.739766666666672</v>
      </c>
      <c r="K168" s="50">
        <f t="shared" si="68"/>
        <v>18.739766666666672</v>
      </c>
      <c r="L168" s="50">
        <f t="shared" si="68"/>
        <v>18.739766666666672</v>
      </c>
      <c r="M168" s="50">
        <f t="shared" si="68"/>
        <v>18.739766666666672</v>
      </c>
      <c r="N168" s="50">
        <f t="shared" si="68"/>
        <v>18.739766666666672</v>
      </c>
      <c r="O168" s="51"/>
      <c r="Q168" s="44"/>
    </row>
    <row r="169" spans="1:18">
      <c r="B169" s="11" t="s">
        <v>81</v>
      </c>
      <c r="C169" s="67">
        <f>+'[1]Costo de Comprar'!M20</f>
        <v>17.989766666666672</v>
      </c>
      <c r="D169" s="50">
        <f t="shared" si="69"/>
        <v>17.989766666666672</v>
      </c>
      <c r="E169" s="50">
        <f t="shared" si="68"/>
        <v>17.989766666666672</v>
      </c>
      <c r="F169" s="50">
        <f t="shared" si="68"/>
        <v>17.989766666666672</v>
      </c>
      <c r="G169" s="50">
        <f t="shared" si="68"/>
        <v>17.989766666666672</v>
      </c>
      <c r="H169" s="50">
        <f t="shared" si="68"/>
        <v>17.989766666666672</v>
      </c>
      <c r="I169" s="50">
        <f t="shared" si="68"/>
        <v>17.989766666666672</v>
      </c>
      <c r="J169" s="50">
        <f t="shared" si="68"/>
        <v>17.989766666666672</v>
      </c>
      <c r="K169" s="50">
        <f t="shared" si="68"/>
        <v>17.989766666666672</v>
      </c>
      <c r="L169" s="50">
        <f t="shared" si="68"/>
        <v>17.989766666666672</v>
      </c>
      <c r="M169" s="50">
        <f t="shared" si="68"/>
        <v>17.989766666666672</v>
      </c>
      <c r="N169" s="50">
        <f t="shared" si="68"/>
        <v>17.989766666666672</v>
      </c>
      <c r="O169" s="51"/>
      <c r="Q169" s="44"/>
    </row>
    <row r="170" spans="1:18">
      <c r="B170" s="11" t="s">
        <v>82</v>
      </c>
      <c r="C170" s="52">
        <f>+C35+C75</f>
        <v>2100</v>
      </c>
      <c r="D170" s="52">
        <f t="shared" ref="D170:N170" si="70">+D35+D75</f>
        <v>2172</v>
      </c>
      <c r="E170" s="52">
        <f t="shared" si="70"/>
        <v>2244</v>
      </c>
      <c r="F170" s="52">
        <f t="shared" si="70"/>
        <v>2328</v>
      </c>
      <c r="G170" s="52">
        <f t="shared" si="70"/>
        <v>2412</v>
      </c>
      <c r="H170" s="52">
        <f t="shared" si="70"/>
        <v>2508</v>
      </c>
      <c r="I170" s="52">
        <f t="shared" si="70"/>
        <v>2604</v>
      </c>
      <c r="J170" s="52">
        <f t="shared" si="70"/>
        <v>2700</v>
      </c>
      <c r="K170" s="52">
        <f t="shared" si="70"/>
        <v>2796</v>
      </c>
      <c r="L170" s="52">
        <f t="shared" si="70"/>
        <v>2904</v>
      </c>
      <c r="M170" s="52">
        <f t="shared" si="70"/>
        <v>3012</v>
      </c>
      <c r="N170" s="52">
        <f t="shared" si="70"/>
        <v>3132</v>
      </c>
      <c r="O170" s="53">
        <f>SUM(C170:N170)</f>
        <v>30912</v>
      </c>
      <c r="Q170" s="44"/>
    </row>
    <row r="171" spans="1:18">
      <c r="B171" s="11" t="s">
        <v>83</v>
      </c>
      <c r="C171" s="52">
        <f>+C41+C81</f>
        <v>2100</v>
      </c>
      <c r="D171" s="52">
        <f t="shared" ref="D171:N171" si="71">+D41+D81</f>
        <v>2172</v>
      </c>
      <c r="E171" s="52">
        <f t="shared" si="71"/>
        <v>2244</v>
      </c>
      <c r="F171" s="52">
        <f t="shared" si="71"/>
        <v>2328</v>
      </c>
      <c r="G171" s="52">
        <f t="shared" si="71"/>
        <v>2412</v>
      </c>
      <c r="H171" s="52">
        <f t="shared" si="71"/>
        <v>2508</v>
      </c>
      <c r="I171" s="52">
        <f t="shared" si="71"/>
        <v>2604</v>
      </c>
      <c r="J171" s="52">
        <f t="shared" si="71"/>
        <v>2700</v>
      </c>
      <c r="K171" s="52">
        <f t="shared" si="71"/>
        <v>2796</v>
      </c>
      <c r="L171" s="52">
        <f t="shared" si="71"/>
        <v>2904</v>
      </c>
      <c r="M171" s="52">
        <f t="shared" si="71"/>
        <v>3012</v>
      </c>
      <c r="N171" s="52">
        <f t="shared" si="71"/>
        <v>3132</v>
      </c>
      <c r="O171" s="53">
        <f>SUM(C171:N171)</f>
        <v>30912</v>
      </c>
      <c r="P171" s="45"/>
      <c r="Q171" s="44"/>
      <c r="R171" s="19"/>
    </row>
    <row r="172" spans="1:18">
      <c r="B172" s="11" t="s">
        <v>84</v>
      </c>
      <c r="C172" s="52">
        <f>+C115</f>
        <v>0</v>
      </c>
      <c r="D172" s="52">
        <f t="shared" ref="D172:N172" si="72">+D115</f>
        <v>0</v>
      </c>
      <c r="E172" s="52">
        <f t="shared" si="72"/>
        <v>120</v>
      </c>
      <c r="F172" s="52">
        <f t="shared" si="72"/>
        <v>126</v>
      </c>
      <c r="G172" s="52">
        <f t="shared" si="72"/>
        <v>132</v>
      </c>
      <c r="H172" s="52">
        <f t="shared" si="72"/>
        <v>138</v>
      </c>
      <c r="I172" s="52">
        <f t="shared" si="72"/>
        <v>144</v>
      </c>
      <c r="J172" s="52">
        <f t="shared" si="72"/>
        <v>150</v>
      </c>
      <c r="K172" s="52">
        <f t="shared" si="72"/>
        <v>156</v>
      </c>
      <c r="L172" s="52">
        <f t="shared" si="72"/>
        <v>162</v>
      </c>
      <c r="M172" s="52">
        <f t="shared" si="72"/>
        <v>168</v>
      </c>
      <c r="N172" s="52">
        <f t="shared" si="72"/>
        <v>174</v>
      </c>
      <c r="O172" s="53">
        <f t="shared" ref="O172:O173" si="73">SUM(C172:N172)</f>
        <v>1470</v>
      </c>
      <c r="P172" s="46"/>
      <c r="Q172" s="44"/>
      <c r="R172" s="19"/>
    </row>
    <row r="173" spans="1:18">
      <c r="B173" s="11" t="s">
        <v>85</v>
      </c>
      <c r="C173" s="52">
        <f>+C121</f>
        <v>0</v>
      </c>
      <c r="D173" s="52">
        <f t="shared" ref="D173:N173" si="74">+D121</f>
        <v>0</v>
      </c>
      <c r="E173" s="52">
        <f t="shared" si="74"/>
        <v>96</v>
      </c>
      <c r="F173" s="52">
        <f t="shared" si="74"/>
        <v>102</v>
      </c>
      <c r="G173" s="52">
        <f t="shared" si="74"/>
        <v>108</v>
      </c>
      <c r="H173" s="52">
        <f t="shared" si="74"/>
        <v>114</v>
      </c>
      <c r="I173" s="52">
        <f t="shared" si="74"/>
        <v>120</v>
      </c>
      <c r="J173" s="52">
        <f t="shared" si="74"/>
        <v>126</v>
      </c>
      <c r="K173" s="52">
        <f t="shared" si="74"/>
        <v>132</v>
      </c>
      <c r="L173" s="52">
        <f t="shared" si="74"/>
        <v>138</v>
      </c>
      <c r="M173" s="52">
        <f t="shared" si="74"/>
        <v>144</v>
      </c>
      <c r="N173" s="52">
        <f t="shared" si="74"/>
        <v>150</v>
      </c>
      <c r="O173" s="53">
        <f t="shared" si="73"/>
        <v>1230</v>
      </c>
      <c r="P173" s="46"/>
      <c r="Q173" s="44"/>
      <c r="R173" s="19"/>
    </row>
    <row r="174" spans="1:18">
      <c r="B174" s="11" t="s">
        <v>86</v>
      </c>
      <c r="C174" s="54">
        <f>+C166*C170+C167*C171+C168*C172+C169*C173</f>
        <v>62187.020000000004</v>
      </c>
      <c r="D174" s="54">
        <f t="shared" ref="D174:N174" si="75">+D166*D170+D167*D171+D168*D172+D169*D173</f>
        <v>64319.146399999998</v>
      </c>
      <c r="E174" s="54">
        <f t="shared" si="75"/>
        <v>70427.06240000001</v>
      </c>
      <c r="F174" s="54">
        <f t="shared" si="75"/>
        <v>73134.920400000017</v>
      </c>
      <c r="G174" s="54">
        <f t="shared" si="75"/>
        <v>75842.778399999996</v>
      </c>
      <c r="H174" s="54">
        <f t="shared" si="75"/>
        <v>78905.9908</v>
      </c>
      <c r="I174" s="54">
        <f t="shared" si="75"/>
        <v>81969.203200000004</v>
      </c>
      <c r="J174" s="54">
        <f t="shared" si="75"/>
        <v>85032.415600000008</v>
      </c>
      <c r="K174" s="54">
        <f t="shared" si="75"/>
        <v>88095.628000000012</v>
      </c>
      <c r="L174" s="54">
        <f t="shared" si="75"/>
        <v>91514.194799999997</v>
      </c>
      <c r="M174" s="54">
        <f t="shared" si="75"/>
        <v>94932.761600000013</v>
      </c>
      <c r="N174" s="54">
        <f t="shared" si="75"/>
        <v>98706.68280000001</v>
      </c>
      <c r="O174" s="54">
        <f>SUM(C174:N174)</f>
        <v>965067.80440000002</v>
      </c>
    </row>
    <row r="175" spans="1:18" hidden="1">
      <c r="O175" s="55"/>
    </row>
    <row r="176" spans="1:18" ht="15.75" hidden="1">
      <c r="A176" s="41" t="s">
        <v>87</v>
      </c>
      <c r="B176" s="42" t="s">
        <v>88</v>
      </c>
      <c r="C176" s="38"/>
      <c r="Q176" s="44"/>
    </row>
    <row r="177" spans="1:17" hidden="1">
      <c r="O177" s="38"/>
      <c r="Q177" s="44"/>
    </row>
    <row r="178" spans="1:17" hidden="1">
      <c r="B178" s="7"/>
      <c r="C178" s="8" t="s">
        <v>5</v>
      </c>
      <c r="D178" s="8" t="s">
        <v>6</v>
      </c>
      <c r="E178" s="8" t="s">
        <v>7</v>
      </c>
      <c r="F178" s="8" t="s">
        <v>8</v>
      </c>
      <c r="G178" s="8" t="s">
        <v>9</v>
      </c>
      <c r="H178" s="8" t="s">
        <v>10</v>
      </c>
      <c r="I178" s="8" t="s">
        <v>11</v>
      </c>
      <c r="J178" s="8" t="s">
        <v>12</v>
      </c>
      <c r="K178" s="8" t="s">
        <v>13</v>
      </c>
      <c r="L178" s="8" t="s">
        <v>14</v>
      </c>
      <c r="M178" s="8" t="s">
        <v>15</v>
      </c>
      <c r="N178" s="8" t="s">
        <v>16</v>
      </c>
      <c r="O178" s="8" t="s">
        <v>18</v>
      </c>
      <c r="Q178" s="44"/>
    </row>
    <row r="179" spans="1:17" hidden="1">
      <c r="B179" s="11" t="s">
        <v>89</v>
      </c>
      <c r="C179" s="50">
        <f>C65</f>
        <v>10446.428571428571</v>
      </c>
      <c r="D179" s="50">
        <f t="shared" ref="D179:N179" si="76">D65</f>
        <v>10446.428571428571</v>
      </c>
      <c r="E179" s="50">
        <f t="shared" si="76"/>
        <v>10446.428571428571</v>
      </c>
      <c r="F179" s="50">
        <f t="shared" si="76"/>
        <v>10446.428571428571</v>
      </c>
      <c r="G179" s="50">
        <f t="shared" si="76"/>
        <v>10446.428571428571</v>
      </c>
      <c r="H179" s="50">
        <f t="shared" si="76"/>
        <v>10446.428571428571</v>
      </c>
      <c r="I179" s="50">
        <f t="shared" si="76"/>
        <v>10446.428571428571</v>
      </c>
      <c r="J179" s="50">
        <f t="shared" si="76"/>
        <v>10446.428571428571</v>
      </c>
      <c r="K179" s="50">
        <f t="shared" si="76"/>
        <v>10446.428571428571</v>
      </c>
      <c r="L179" s="50">
        <f t="shared" si="76"/>
        <v>10446.428571428571</v>
      </c>
      <c r="M179" s="50">
        <f t="shared" si="76"/>
        <v>10446.428571428571</v>
      </c>
      <c r="N179" s="50">
        <f t="shared" si="76"/>
        <v>10446.428571428571</v>
      </c>
      <c r="O179" s="54">
        <f>SUM(C179:N179)</f>
        <v>125357.14285714283</v>
      </c>
      <c r="Q179" s="44"/>
    </row>
    <row r="180" spans="1:17" hidden="1">
      <c r="B180" s="11" t="s">
        <v>90</v>
      </c>
      <c r="C180" s="50">
        <f>C105</f>
        <v>2000.0000000000002</v>
      </c>
      <c r="D180" s="50">
        <f t="shared" ref="D180:N180" si="77">D105</f>
        <v>2000.0000000000002</v>
      </c>
      <c r="E180" s="50">
        <f t="shared" si="77"/>
        <v>2000.0000000000002</v>
      </c>
      <c r="F180" s="50">
        <f t="shared" si="77"/>
        <v>2000.0000000000002</v>
      </c>
      <c r="G180" s="50">
        <f t="shared" si="77"/>
        <v>2000.0000000000002</v>
      </c>
      <c r="H180" s="50">
        <f t="shared" si="77"/>
        <v>2000.0000000000002</v>
      </c>
      <c r="I180" s="50">
        <f t="shared" si="77"/>
        <v>2000.0000000000002</v>
      </c>
      <c r="J180" s="50">
        <f t="shared" si="77"/>
        <v>2000.0000000000002</v>
      </c>
      <c r="K180" s="50">
        <f t="shared" si="77"/>
        <v>2000.0000000000002</v>
      </c>
      <c r="L180" s="50">
        <f t="shared" si="77"/>
        <v>2000.0000000000002</v>
      </c>
      <c r="M180" s="50">
        <f t="shared" si="77"/>
        <v>2000.0000000000002</v>
      </c>
      <c r="N180" s="50">
        <f t="shared" si="77"/>
        <v>2000.0000000000002</v>
      </c>
      <c r="O180" s="54">
        <f>SUM(C180:N180)</f>
        <v>24000.000000000004</v>
      </c>
      <c r="P180" s="45"/>
      <c r="Q180" s="44"/>
    </row>
    <row r="181" spans="1:17" hidden="1">
      <c r="B181" s="11" t="s">
        <v>88</v>
      </c>
      <c r="C181" s="54">
        <f>SUM(C179:C180)</f>
        <v>12446.428571428571</v>
      </c>
      <c r="D181" s="54">
        <f t="shared" ref="D181:O181" si="78">SUM(D179:D180)</f>
        <v>12446.428571428571</v>
      </c>
      <c r="E181" s="54">
        <f t="shared" si="78"/>
        <v>12446.428571428571</v>
      </c>
      <c r="F181" s="54">
        <f t="shared" si="78"/>
        <v>12446.428571428571</v>
      </c>
      <c r="G181" s="54">
        <f t="shared" si="78"/>
        <v>12446.428571428571</v>
      </c>
      <c r="H181" s="54">
        <f t="shared" si="78"/>
        <v>12446.428571428571</v>
      </c>
      <c r="I181" s="54">
        <f t="shared" si="78"/>
        <v>12446.428571428571</v>
      </c>
      <c r="J181" s="54">
        <f t="shared" si="78"/>
        <v>12446.428571428571</v>
      </c>
      <c r="K181" s="54">
        <f t="shared" si="78"/>
        <v>12446.428571428571</v>
      </c>
      <c r="L181" s="54">
        <f t="shared" si="78"/>
        <v>12446.428571428571</v>
      </c>
      <c r="M181" s="54">
        <f t="shared" si="78"/>
        <v>12446.428571428571</v>
      </c>
      <c r="N181" s="54">
        <f t="shared" si="78"/>
        <v>12446.428571428571</v>
      </c>
      <c r="O181" s="54">
        <f t="shared" si="78"/>
        <v>149357.14285714284</v>
      </c>
    </row>
    <row r="182" spans="1:17" hidden="1"/>
    <row r="183" spans="1:17" ht="15.75" hidden="1">
      <c r="A183" s="41" t="s">
        <v>91</v>
      </c>
      <c r="B183" s="42" t="s">
        <v>92</v>
      </c>
      <c r="Q183" s="44"/>
    </row>
    <row r="184" spans="1:17" hidden="1">
      <c r="O184" s="38"/>
      <c r="Q184" s="44"/>
    </row>
    <row r="185" spans="1:17" hidden="1">
      <c r="B185" s="7"/>
      <c r="C185" s="8" t="s">
        <v>5</v>
      </c>
      <c r="D185" s="8" t="s">
        <v>6</v>
      </c>
      <c r="E185" s="8" t="s">
        <v>7</v>
      </c>
      <c r="F185" s="8" t="s">
        <v>8</v>
      </c>
      <c r="G185" s="8" t="s">
        <v>9</v>
      </c>
      <c r="H185" s="8" t="s">
        <v>10</v>
      </c>
      <c r="I185" s="8" t="s">
        <v>11</v>
      </c>
      <c r="J185" s="8" t="s">
        <v>12</v>
      </c>
      <c r="K185" s="8" t="s">
        <v>13</v>
      </c>
      <c r="L185" s="8" t="s">
        <v>14</v>
      </c>
      <c r="M185" s="8" t="s">
        <v>15</v>
      </c>
      <c r="N185" s="8" t="s">
        <v>16</v>
      </c>
      <c r="O185" s="8" t="s">
        <v>18</v>
      </c>
      <c r="Q185" s="44"/>
    </row>
    <row r="186" spans="1:17" hidden="1">
      <c r="B186" s="56" t="s">
        <v>93</v>
      </c>
      <c r="C186" s="50">
        <f>'[1]Plan de compensación'!D45</f>
        <v>2000</v>
      </c>
      <c r="D186" s="50">
        <f>C186</f>
        <v>2000</v>
      </c>
      <c r="E186" s="50">
        <f t="shared" ref="E186:N186" si="79">D186</f>
        <v>2000</v>
      </c>
      <c r="F186" s="50">
        <f t="shared" si="79"/>
        <v>2000</v>
      </c>
      <c r="G186" s="50">
        <f t="shared" si="79"/>
        <v>2000</v>
      </c>
      <c r="H186" s="50">
        <f t="shared" si="79"/>
        <v>2000</v>
      </c>
      <c r="I186" s="50">
        <f t="shared" si="79"/>
        <v>2000</v>
      </c>
      <c r="J186" s="50">
        <f t="shared" si="79"/>
        <v>2000</v>
      </c>
      <c r="K186" s="50">
        <f t="shared" si="79"/>
        <v>2000</v>
      </c>
      <c r="L186" s="50">
        <f t="shared" si="79"/>
        <v>2000</v>
      </c>
      <c r="M186" s="50">
        <f t="shared" si="79"/>
        <v>2000</v>
      </c>
      <c r="N186" s="50">
        <f t="shared" si="79"/>
        <v>2000</v>
      </c>
      <c r="O186" s="54">
        <f>SUM(C186:N186)</f>
        <v>24000</v>
      </c>
      <c r="Q186" s="44"/>
    </row>
    <row r="187" spans="1:17" hidden="1">
      <c r="B187" s="56" t="s">
        <v>94</v>
      </c>
      <c r="C187" s="49">
        <f>'[1]Plan de compensación'!D46*C11</f>
        <v>3750</v>
      </c>
      <c r="D187" s="50">
        <f t="shared" ref="D187:N193" si="80">C187</f>
        <v>3750</v>
      </c>
      <c r="E187" s="50">
        <f t="shared" si="80"/>
        <v>3750</v>
      </c>
      <c r="F187" s="50">
        <f t="shared" si="80"/>
        <v>3750</v>
      </c>
      <c r="G187" s="50">
        <f t="shared" si="80"/>
        <v>3750</v>
      </c>
      <c r="H187" s="50">
        <f t="shared" si="80"/>
        <v>3750</v>
      </c>
      <c r="I187" s="50">
        <f t="shared" si="80"/>
        <v>3750</v>
      </c>
      <c r="J187" s="50">
        <f t="shared" si="80"/>
        <v>3750</v>
      </c>
      <c r="K187" s="50">
        <f t="shared" si="80"/>
        <v>3750</v>
      </c>
      <c r="L187" s="50">
        <f t="shared" si="80"/>
        <v>3750</v>
      </c>
      <c r="M187" s="50">
        <f t="shared" si="80"/>
        <v>3750</v>
      </c>
      <c r="N187" s="50">
        <f t="shared" si="80"/>
        <v>3750</v>
      </c>
      <c r="O187" s="54">
        <f t="shared" ref="O187:O193" si="81">SUM(C187:N187)</f>
        <v>45000</v>
      </c>
      <c r="Q187" s="44"/>
    </row>
    <row r="188" spans="1:17" hidden="1">
      <c r="B188" s="56" t="s">
        <v>95</v>
      </c>
      <c r="C188" s="50">
        <f>'[1]Plan de compensación'!D47</f>
        <v>1500</v>
      </c>
      <c r="D188" s="50">
        <f t="shared" si="80"/>
        <v>1500</v>
      </c>
      <c r="E188" s="50">
        <f t="shared" si="80"/>
        <v>1500</v>
      </c>
      <c r="F188" s="50">
        <f t="shared" si="80"/>
        <v>1500</v>
      </c>
      <c r="G188" s="50">
        <f t="shared" si="80"/>
        <v>1500</v>
      </c>
      <c r="H188" s="50">
        <f t="shared" si="80"/>
        <v>1500</v>
      </c>
      <c r="I188" s="50">
        <f t="shared" si="80"/>
        <v>1500</v>
      </c>
      <c r="J188" s="50">
        <f t="shared" si="80"/>
        <v>1500</v>
      </c>
      <c r="K188" s="50">
        <f t="shared" si="80"/>
        <v>1500</v>
      </c>
      <c r="L188" s="50">
        <f t="shared" si="80"/>
        <v>1500</v>
      </c>
      <c r="M188" s="50">
        <f t="shared" si="80"/>
        <v>1500</v>
      </c>
      <c r="N188" s="50">
        <f t="shared" si="80"/>
        <v>1500</v>
      </c>
      <c r="O188" s="54">
        <f t="shared" si="81"/>
        <v>18000</v>
      </c>
      <c r="Q188" s="44"/>
    </row>
    <row r="189" spans="1:17" hidden="1">
      <c r="B189" s="56" t="s">
        <v>96</v>
      </c>
      <c r="C189" s="50">
        <f>'[1]Plan de compensación'!D48</f>
        <v>750</v>
      </c>
      <c r="D189" s="50">
        <f t="shared" si="80"/>
        <v>750</v>
      </c>
      <c r="E189" s="50">
        <f t="shared" si="80"/>
        <v>750</v>
      </c>
      <c r="F189" s="50">
        <f t="shared" si="80"/>
        <v>750</v>
      </c>
      <c r="G189" s="50">
        <f t="shared" si="80"/>
        <v>750</v>
      </c>
      <c r="H189" s="50">
        <f t="shared" si="80"/>
        <v>750</v>
      </c>
      <c r="I189" s="50">
        <f t="shared" si="80"/>
        <v>750</v>
      </c>
      <c r="J189" s="50">
        <f t="shared" si="80"/>
        <v>750</v>
      </c>
      <c r="K189" s="50">
        <f t="shared" si="80"/>
        <v>750</v>
      </c>
      <c r="L189" s="50">
        <f t="shared" si="80"/>
        <v>750</v>
      </c>
      <c r="M189" s="50">
        <f t="shared" si="80"/>
        <v>750</v>
      </c>
      <c r="N189" s="50">
        <f t="shared" si="80"/>
        <v>750</v>
      </c>
      <c r="O189" s="54">
        <f t="shared" si="81"/>
        <v>9000</v>
      </c>
      <c r="Q189" s="44"/>
    </row>
    <row r="190" spans="1:17" hidden="1">
      <c r="B190" s="56" t="s">
        <v>97</v>
      </c>
      <c r="C190" s="50">
        <f>'[1]Plan de compensación'!D49</f>
        <v>1100</v>
      </c>
      <c r="D190" s="50">
        <f t="shared" si="80"/>
        <v>1100</v>
      </c>
      <c r="E190" s="50">
        <f t="shared" si="80"/>
        <v>1100</v>
      </c>
      <c r="F190" s="50">
        <f t="shared" si="80"/>
        <v>1100</v>
      </c>
      <c r="G190" s="50">
        <f t="shared" si="80"/>
        <v>1100</v>
      </c>
      <c r="H190" s="50">
        <f t="shared" si="80"/>
        <v>1100</v>
      </c>
      <c r="I190" s="50">
        <f t="shared" si="80"/>
        <v>1100</v>
      </c>
      <c r="J190" s="50">
        <f t="shared" si="80"/>
        <v>1100</v>
      </c>
      <c r="K190" s="50">
        <f t="shared" si="80"/>
        <v>1100</v>
      </c>
      <c r="L190" s="50">
        <f t="shared" si="80"/>
        <v>1100</v>
      </c>
      <c r="M190" s="50">
        <f t="shared" si="80"/>
        <v>1100</v>
      </c>
      <c r="N190" s="50">
        <f t="shared" si="80"/>
        <v>1100</v>
      </c>
      <c r="O190" s="54">
        <f t="shared" si="81"/>
        <v>13200</v>
      </c>
      <c r="Q190" s="44"/>
    </row>
    <row r="191" spans="1:17" hidden="1">
      <c r="B191" s="56" t="s">
        <v>98</v>
      </c>
      <c r="C191" s="50">
        <f>'[1]Plan de compensación'!D50</f>
        <v>750</v>
      </c>
      <c r="D191" s="50">
        <f t="shared" si="80"/>
        <v>750</v>
      </c>
      <c r="E191" s="50">
        <f t="shared" si="80"/>
        <v>750</v>
      </c>
      <c r="F191" s="50">
        <f t="shared" si="80"/>
        <v>750</v>
      </c>
      <c r="G191" s="50">
        <f t="shared" si="80"/>
        <v>750</v>
      </c>
      <c r="H191" s="50">
        <f t="shared" si="80"/>
        <v>750</v>
      </c>
      <c r="I191" s="50">
        <f t="shared" si="80"/>
        <v>750</v>
      </c>
      <c r="J191" s="50">
        <f t="shared" si="80"/>
        <v>750</v>
      </c>
      <c r="K191" s="50">
        <f t="shared" si="80"/>
        <v>750</v>
      </c>
      <c r="L191" s="50">
        <f t="shared" si="80"/>
        <v>750</v>
      </c>
      <c r="M191" s="50">
        <f t="shared" si="80"/>
        <v>750</v>
      </c>
      <c r="N191" s="50">
        <f t="shared" si="80"/>
        <v>750</v>
      </c>
      <c r="O191" s="54">
        <f t="shared" si="81"/>
        <v>9000</v>
      </c>
      <c r="Q191" s="44"/>
    </row>
    <row r="192" spans="1:17" hidden="1">
      <c r="B192" s="56" t="s">
        <v>99</v>
      </c>
      <c r="C192" s="50">
        <f>'[1]Plan de compensación'!D51</f>
        <v>850</v>
      </c>
      <c r="D192" s="50">
        <f t="shared" si="80"/>
        <v>850</v>
      </c>
      <c r="E192" s="50">
        <f t="shared" si="80"/>
        <v>850</v>
      </c>
      <c r="F192" s="50">
        <f t="shared" si="80"/>
        <v>850</v>
      </c>
      <c r="G192" s="50">
        <f t="shared" si="80"/>
        <v>850</v>
      </c>
      <c r="H192" s="50">
        <f t="shared" si="80"/>
        <v>850</v>
      </c>
      <c r="I192" s="50">
        <f t="shared" si="80"/>
        <v>850</v>
      </c>
      <c r="J192" s="50">
        <f t="shared" si="80"/>
        <v>850</v>
      </c>
      <c r="K192" s="50">
        <f t="shared" si="80"/>
        <v>850</v>
      </c>
      <c r="L192" s="50">
        <f t="shared" si="80"/>
        <v>850</v>
      </c>
      <c r="M192" s="50">
        <f t="shared" si="80"/>
        <v>850</v>
      </c>
      <c r="N192" s="50">
        <f t="shared" si="80"/>
        <v>850</v>
      </c>
      <c r="O192" s="54">
        <f t="shared" si="81"/>
        <v>10200</v>
      </c>
      <c r="Q192" s="44"/>
    </row>
    <row r="193" spans="1:19" hidden="1">
      <c r="B193" s="56" t="s">
        <v>100</v>
      </c>
      <c r="C193" s="49">
        <f>'[1]Plan de compensación'!D52*'[1]Plan de compensación'!C52</f>
        <v>1800</v>
      </c>
      <c r="D193" s="50">
        <f t="shared" si="80"/>
        <v>1800</v>
      </c>
      <c r="E193" s="50">
        <f t="shared" si="80"/>
        <v>1800</v>
      </c>
      <c r="F193" s="50">
        <f t="shared" si="80"/>
        <v>1800</v>
      </c>
      <c r="G193" s="50">
        <f t="shared" si="80"/>
        <v>1800</v>
      </c>
      <c r="H193" s="50">
        <f t="shared" si="80"/>
        <v>1800</v>
      </c>
      <c r="I193" s="50">
        <f t="shared" si="80"/>
        <v>1800</v>
      </c>
      <c r="J193" s="50">
        <f t="shared" si="80"/>
        <v>1800</v>
      </c>
      <c r="K193" s="50">
        <f t="shared" si="80"/>
        <v>1800</v>
      </c>
      <c r="L193" s="50">
        <f t="shared" si="80"/>
        <v>1800</v>
      </c>
      <c r="M193" s="50">
        <f t="shared" si="80"/>
        <v>1800</v>
      </c>
      <c r="N193" s="50">
        <f t="shared" si="80"/>
        <v>1800</v>
      </c>
      <c r="O193" s="54">
        <f t="shared" si="81"/>
        <v>21600</v>
      </c>
      <c r="Q193" s="44"/>
    </row>
    <row r="194" spans="1:19" hidden="1">
      <c r="B194" s="11" t="s">
        <v>101</v>
      </c>
      <c r="C194" s="54">
        <f t="shared" ref="C194:O194" si="82">SUM(C186:C193)</f>
        <v>12500</v>
      </c>
      <c r="D194" s="54">
        <f t="shared" si="82"/>
        <v>12500</v>
      </c>
      <c r="E194" s="54">
        <f t="shared" si="82"/>
        <v>12500</v>
      </c>
      <c r="F194" s="54">
        <f t="shared" si="82"/>
        <v>12500</v>
      </c>
      <c r="G194" s="54">
        <f t="shared" si="82"/>
        <v>12500</v>
      </c>
      <c r="H194" s="54">
        <f t="shared" si="82"/>
        <v>12500</v>
      </c>
      <c r="I194" s="54">
        <f t="shared" si="82"/>
        <v>12500</v>
      </c>
      <c r="J194" s="54">
        <f t="shared" si="82"/>
        <v>12500</v>
      </c>
      <c r="K194" s="54">
        <f t="shared" si="82"/>
        <v>12500</v>
      </c>
      <c r="L194" s="54">
        <f t="shared" si="82"/>
        <v>12500</v>
      </c>
      <c r="M194" s="54">
        <f t="shared" si="82"/>
        <v>12500</v>
      </c>
      <c r="N194" s="54">
        <f t="shared" si="82"/>
        <v>12500</v>
      </c>
      <c r="O194" s="54">
        <f t="shared" si="82"/>
        <v>150000</v>
      </c>
    </row>
    <row r="195" spans="1:19" hidden="1"/>
    <row r="196" spans="1:19" ht="15.75" hidden="1">
      <c r="A196" s="41" t="s">
        <v>102</v>
      </c>
      <c r="B196" s="42" t="s">
        <v>103</v>
      </c>
      <c r="Q196" s="44"/>
    </row>
    <row r="197" spans="1:19" hidden="1">
      <c r="O197" s="38"/>
      <c r="Q197" s="44"/>
    </row>
    <row r="198" spans="1:19" hidden="1">
      <c r="B198" s="7"/>
      <c r="C198" s="8" t="s">
        <v>5</v>
      </c>
      <c r="D198" s="8" t="s">
        <v>6</v>
      </c>
      <c r="E198" s="8" t="s">
        <v>7</v>
      </c>
      <c r="F198" s="8" t="s">
        <v>8</v>
      </c>
      <c r="G198" s="8" t="s">
        <v>9</v>
      </c>
      <c r="H198" s="8" t="s">
        <v>10</v>
      </c>
      <c r="I198" s="8" t="s">
        <v>11</v>
      </c>
      <c r="J198" s="8" t="s">
        <v>12</v>
      </c>
      <c r="K198" s="8" t="s">
        <v>13</v>
      </c>
      <c r="L198" s="8" t="s">
        <v>14</v>
      </c>
      <c r="M198" s="8" t="s">
        <v>15</v>
      </c>
      <c r="N198" s="8" t="s">
        <v>16</v>
      </c>
      <c r="O198" s="8" t="s">
        <v>18</v>
      </c>
      <c r="Q198" s="44"/>
    </row>
    <row r="199" spans="1:19" hidden="1">
      <c r="B199" s="56" t="s">
        <v>104</v>
      </c>
      <c r="C199" s="50">
        <f>SUM(C179:C180,C186:C192)*('[1]Plan de compensación'!$J$42)</f>
        <v>10415.892857142859</v>
      </c>
      <c r="D199" s="50">
        <f>SUM(D179:D180,D186:D192)*('[1]Plan de compensación'!$J$42)</f>
        <v>10415.892857142859</v>
      </c>
      <c r="E199" s="50">
        <f>SUM(E179:E180,E186:E192)*('[1]Plan de compensación'!$J$42)</f>
        <v>10415.892857142859</v>
      </c>
      <c r="F199" s="50">
        <f>SUM(F179:F180,F186:F192)*('[1]Plan de compensación'!$J$42)</f>
        <v>10415.892857142859</v>
      </c>
      <c r="G199" s="50">
        <f>SUM(G179:G180,G186:G192)*('[1]Plan de compensación'!$J$42)</f>
        <v>10415.892857142859</v>
      </c>
      <c r="H199" s="50">
        <f>SUM(H179:H180,H186:H192)*('[1]Plan de compensación'!$J$42)</f>
        <v>10415.892857142859</v>
      </c>
      <c r="I199" s="50">
        <f>SUM(I179:I180,I186:I192)*('[1]Plan de compensación'!$J$42)</f>
        <v>10415.892857142859</v>
      </c>
      <c r="J199" s="50">
        <f>SUM(J179:J180,J186:J192)*('[1]Plan de compensación'!$J$42)</f>
        <v>10415.892857142859</v>
      </c>
      <c r="K199" s="50">
        <f>SUM(K179:K180,K186:K192)*('[1]Plan de compensación'!$J$42)</f>
        <v>10415.892857142859</v>
      </c>
      <c r="L199" s="50">
        <f>SUM(L179:L180,L186:L192)*('[1]Plan de compensación'!$J$42)</f>
        <v>10415.892857142859</v>
      </c>
      <c r="M199" s="50">
        <f>SUM(M179:M180,M186:M192)*('[1]Plan de compensación'!$J$42)</f>
        <v>10415.892857142859</v>
      </c>
      <c r="N199" s="50">
        <f>SUM(N179:N180,N186:N192)*('[1]Plan de compensación'!$J$42)</f>
        <v>10415.892857142859</v>
      </c>
      <c r="O199" s="54">
        <f>SUM(C199:N199)</f>
        <v>124990.71428571428</v>
      </c>
      <c r="Q199" s="57">
        <f>O181+O194+O199</f>
        <v>424347.8571428571</v>
      </c>
      <c r="R199" t="s">
        <v>105</v>
      </c>
      <c r="S199" t="s">
        <v>106</v>
      </c>
    </row>
    <row r="200" spans="1:19" hidden="1"/>
    <row r="201" spans="1:19" hidden="1"/>
    <row r="202" spans="1:19" hidden="1"/>
    <row r="203" spans="1:19" hidden="1"/>
    <row r="204" spans="1:19" hidden="1"/>
    <row r="205" spans="1:19" hidden="1"/>
    <row r="206" spans="1:19" hidden="1"/>
    <row r="207" spans="1:19" hidden="1"/>
    <row r="208" spans="1:19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</sheetData>
  <pageMargins left="0.70866141732283472" right="0.70866141732283472" top="0.74803149606299213" bottom="0.74803149606299213" header="0.31496062992125984" footer="0.31496062992125984"/>
  <pageSetup paperSize="9" scale="49" fitToHeight="2" orientation="landscape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59"/>
  <sheetViews>
    <sheetView showGridLines="0" workbookViewId="0"/>
  </sheetViews>
  <sheetFormatPr baseColWidth="10" defaultRowHeight="15"/>
  <cols>
    <col min="1" max="1" width="7.140625" customWidth="1"/>
    <col min="2" max="2" width="20.28515625" customWidth="1"/>
    <col min="3" max="3" width="23.5703125" customWidth="1"/>
    <col min="4" max="6" width="13" bestFit="1" customWidth="1"/>
    <col min="9" max="9" width="22.85546875" customWidth="1"/>
    <col min="10" max="12" width="13" bestFit="1" customWidth="1"/>
  </cols>
  <sheetData>
    <row r="2" spans="2:13" ht="21">
      <c r="B2" s="169" t="s">
        <v>617</v>
      </c>
    </row>
    <row r="3" spans="2:13" ht="21">
      <c r="B3" s="169" t="s">
        <v>619</v>
      </c>
    </row>
    <row r="4" spans="2:13" ht="21">
      <c r="B4" s="169"/>
    </row>
    <row r="6" spans="2:13" s="168" customFormat="1" ht="21">
      <c r="B6" s="167" t="s">
        <v>313</v>
      </c>
      <c r="H6" s="169" t="s">
        <v>314</v>
      </c>
    </row>
    <row r="8" spans="2:13" ht="16.5" customHeight="1">
      <c r="E8" s="75" t="s">
        <v>315</v>
      </c>
      <c r="F8" s="75">
        <v>0.6</v>
      </c>
      <c r="G8" s="75"/>
      <c r="H8" s="75"/>
      <c r="I8" s="75"/>
      <c r="J8" s="75"/>
      <c r="K8" s="75" t="s">
        <v>315</v>
      </c>
      <c r="L8" s="75">
        <v>1.22</v>
      </c>
    </row>
    <row r="9" spans="2:13" ht="15.75" thickBot="1"/>
    <row r="10" spans="2:13" ht="16.5" customHeight="1" thickBot="1">
      <c r="B10" s="272" t="s">
        <v>316</v>
      </c>
      <c r="C10" s="273"/>
      <c r="D10" s="170">
        <v>40908</v>
      </c>
      <c r="E10" s="170">
        <v>40543</v>
      </c>
      <c r="F10" s="171">
        <v>40178</v>
      </c>
      <c r="H10" s="272" t="s">
        <v>316</v>
      </c>
      <c r="I10" s="273"/>
      <c r="J10" s="172">
        <v>40968</v>
      </c>
      <c r="K10" s="173">
        <v>40602</v>
      </c>
      <c r="L10" s="174">
        <v>40237</v>
      </c>
    </row>
    <row r="11" spans="2:13">
      <c r="B11" s="258"/>
      <c r="C11" s="257"/>
      <c r="D11" s="257"/>
      <c r="E11" s="257"/>
      <c r="F11" s="259"/>
      <c r="H11" s="258"/>
      <c r="I11" s="257"/>
      <c r="J11" s="257"/>
      <c r="K11" s="257"/>
      <c r="L11" s="259"/>
    </row>
    <row r="12" spans="2:13">
      <c r="B12" s="260" t="s">
        <v>317</v>
      </c>
      <c r="C12" s="261"/>
      <c r="D12" s="261"/>
      <c r="E12" s="261"/>
      <c r="F12" s="262"/>
      <c r="H12" s="260" t="s">
        <v>317</v>
      </c>
      <c r="I12" s="261"/>
      <c r="J12" s="261"/>
      <c r="K12" s="261"/>
      <c r="L12" s="262"/>
    </row>
    <row r="13" spans="2:13" ht="15.75" thickBot="1">
      <c r="B13" s="258" t="s">
        <v>318</v>
      </c>
      <c r="C13" s="257"/>
      <c r="D13" s="257"/>
      <c r="E13" s="257"/>
      <c r="F13" s="259"/>
      <c r="H13" s="258" t="s">
        <v>318</v>
      </c>
      <c r="I13" s="257"/>
      <c r="J13" s="257"/>
      <c r="K13" s="257"/>
      <c r="L13" s="259"/>
    </row>
    <row r="14" spans="2:13" ht="36.75" customHeight="1" thickBot="1">
      <c r="B14" s="175"/>
      <c r="C14" s="176" t="s">
        <v>319</v>
      </c>
      <c r="D14" s="177" t="s">
        <v>320</v>
      </c>
      <c r="E14" s="177" t="s">
        <v>321</v>
      </c>
      <c r="F14" s="178">
        <v>13.795</v>
      </c>
      <c r="H14" s="175"/>
      <c r="I14" s="179" t="s">
        <v>319</v>
      </c>
      <c r="J14" s="180" t="s">
        <v>322</v>
      </c>
      <c r="K14" s="180" t="s">
        <v>323</v>
      </c>
      <c r="L14" s="180" t="s">
        <v>324</v>
      </c>
      <c r="M14" s="181"/>
    </row>
    <row r="15" spans="2:13" ht="24.75" customHeight="1">
      <c r="B15" s="175"/>
      <c r="C15" s="179" t="s">
        <v>325</v>
      </c>
      <c r="D15" s="180" t="s">
        <v>326</v>
      </c>
      <c r="E15" s="180" t="s">
        <v>327</v>
      </c>
      <c r="F15" s="180" t="s">
        <v>328</v>
      </c>
      <c r="G15" s="181"/>
      <c r="H15" s="175"/>
      <c r="I15" s="182" t="s">
        <v>325</v>
      </c>
      <c r="J15" s="183" t="s">
        <v>329</v>
      </c>
      <c r="K15" s="183" t="s">
        <v>329</v>
      </c>
      <c r="L15" s="184" t="s">
        <v>329</v>
      </c>
    </row>
    <row r="16" spans="2:13" ht="24.75" customHeight="1" thickBot="1">
      <c r="B16" s="175"/>
      <c r="C16" s="185" t="s">
        <v>330</v>
      </c>
      <c r="D16" s="186" t="s">
        <v>331</v>
      </c>
      <c r="E16" s="186" t="s">
        <v>332</v>
      </c>
      <c r="F16" s="187" t="s">
        <v>333</v>
      </c>
      <c r="H16" s="175"/>
      <c r="I16" s="182" t="s">
        <v>330</v>
      </c>
      <c r="J16" s="183" t="s">
        <v>334</v>
      </c>
      <c r="K16" s="183" t="s">
        <v>335</v>
      </c>
      <c r="L16" s="184" t="s">
        <v>336</v>
      </c>
    </row>
    <row r="17" spans="2:12">
      <c r="B17" s="175"/>
      <c r="C17" s="179" t="s">
        <v>337</v>
      </c>
      <c r="D17" s="180" t="s">
        <v>338</v>
      </c>
      <c r="E17" s="180" t="s">
        <v>339</v>
      </c>
      <c r="F17" s="180" t="s">
        <v>340</v>
      </c>
      <c r="G17" s="181"/>
      <c r="H17" s="175"/>
      <c r="I17" s="182" t="s">
        <v>337</v>
      </c>
      <c r="J17" s="183" t="s">
        <v>341</v>
      </c>
      <c r="K17" s="183" t="s">
        <v>342</v>
      </c>
      <c r="L17" s="184" t="s">
        <v>343</v>
      </c>
    </row>
    <row r="18" spans="2:12" ht="25.5" customHeight="1" thickBot="1">
      <c r="B18" s="175"/>
      <c r="C18" s="185" t="s">
        <v>344</v>
      </c>
      <c r="D18" s="186" t="s">
        <v>345</v>
      </c>
      <c r="E18" s="186" t="s">
        <v>346</v>
      </c>
      <c r="F18" s="187">
        <v>27.742999999999999</v>
      </c>
      <c r="H18" s="175"/>
      <c r="I18" s="185" t="s">
        <v>344</v>
      </c>
      <c r="J18" s="186" t="s">
        <v>347</v>
      </c>
      <c r="K18" s="186" t="s">
        <v>348</v>
      </c>
      <c r="L18" s="187" t="s">
        <v>349</v>
      </c>
    </row>
    <row r="19" spans="2:12" ht="16.5" thickTop="1" thickBot="1">
      <c r="B19" s="244"/>
      <c r="C19" s="245"/>
      <c r="D19" s="245"/>
      <c r="E19" s="245"/>
      <c r="F19" s="246"/>
      <c r="H19" s="244"/>
      <c r="I19" s="245"/>
      <c r="J19" s="245"/>
      <c r="K19" s="245"/>
      <c r="L19" s="246"/>
    </row>
    <row r="20" spans="2:12" ht="24" customHeight="1" thickBot="1">
      <c r="B20" s="265" t="s">
        <v>350</v>
      </c>
      <c r="C20" s="266"/>
      <c r="D20" s="188" t="s">
        <v>351</v>
      </c>
      <c r="E20" s="189" t="s">
        <v>352</v>
      </c>
      <c r="F20" s="190" t="s">
        <v>353</v>
      </c>
      <c r="H20" s="265" t="s">
        <v>350</v>
      </c>
      <c r="I20" s="266"/>
      <c r="J20" s="188" t="s">
        <v>354</v>
      </c>
      <c r="K20" s="189" t="s">
        <v>355</v>
      </c>
      <c r="L20" s="190" t="s">
        <v>356</v>
      </c>
    </row>
    <row r="21" spans="2:12" ht="15" customHeight="1" thickBot="1">
      <c r="B21" s="270" t="s">
        <v>357</v>
      </c>
      <c r="C21" s="271"/>
      <c r="D21" s="191" t="s">
        <v>358</v>
      </c>
      <c r="E21" s="177" t="s">
        <v>359</v>
      </c>
      <c r="F21" s="178" t="s">
        <v>360</v>
      </c>
      <c r="H21" s="267" t="s">
        <v>357</v>
      </c>
      <c r="I21" s="268"/>
      <c r="J21" s="191" t="s">
        <v>329</v>
      </c>
      <c r="K21" s="177" t="s">
        <v>329</v>
      </c>
      <c r="L21" s="178" t="s">
        <v>329</v>
      </c>
    </row>
    <row r="22" spans="2:12" ht="24" customHeight="1" thickBot="1">
      <c r="B22" s="258" t="s">
        <v>361</v>
      </c>
      <c r="C22" s="259"/>
      <c r="D22" s="191" t="s">
        <v>362</v>
      </c>
      <c r="E22" s="177" t="s">
        <v>363</v>
      </c>
      <c r="F22" s="178" t="s">
        <v>364</v>
      </c>
      <c r="H22" s="258" t="s">
        <v>361</v>
      </c>
      <c r="I22" s="259"/>
      <c r="J22" s="191" t="s">
        <v>365</v>
      </c>
      <c r="K22" s="177" t="s">
        <v>366</v>
      </c>
      <c r="L22" s="178" t="s">
        <v>367</v>
      </c>
    </row>
    <row r="23" spans="2:12" ht="15.75" customHeight="1" thickBot="1">
      <c r="B23" s="258" t="s">
        <v>368</v>
      </c>
      <c r="C23" s="259"/>
      <c r="D23" s="191" t="s">
        <v>369</v>
      </c>
      <c r="E23" s="177" t="s">
        <v>329</v>
      </c>
      <c r="F23" s="178"/>
      <c r="H23" s="258" t="s">
        <v>368</v>
      </c>
      <c r="I23" s="259"/>
      <c r="J23" s="191" t="s">
        <v>370</v>
      </c>
      <c r="K23" s="177" t="s">
        <v>371</v>
      </c>
      <c r="L23" s="178" t="s">
        <v>372</v>
      </c>
    </row>
    <row r="24" spans="2:12" ht="15.75" customHeight="1" thickBot="1">
      <c r="B24" s="258" t="s">
        <v>373</v>
      </c>
      <c r="C24" s="259"/>
      <c r="D24" s="191" t="s">
        <v>374</v>
      </c>
      <c r="E24" s="177" t="s">
        <v>375</v>
      </c>
      <c r="F24" s="178" t="s">
        <v>376</v>
      </c>
      <c r="H24" s="258" t="s">
        <v>373</v>
      </c>
      <c r="I24" s="259"/>
      <c r="J24" s="191" t="s">
        <v>377</v>
      </c>
      <c r="K24" s="177" t="s">
        <v>378</v>
      </c>
      <c r="L24" s="178" t="s">
        <v>379</v>
      </c>
    </row>
    <row r="25" spans="2:12" ht="24" customHeight="1" thickBot="1">
      <c r="B25" s="258" t="s">
        <v>380</v>
      </c>
      <c r="C25" s="259"/>
      <c r="D25" s="183" t="s">
        <v>329</v>
      </c>
      <c r="E25" s="183" t="s">
        <v>329</v>
      </c>
      <c r="F25" s="184" t="s">
        <v>329</v>
      </c>
      <c r="H25" s="258" t="s">
        <v>380</v>
      </c>
      <c r="I25" s="259"/>
      <c r="J25" s="191" t="s">
        <v>329</v>
      </c>
      <c r="K25" s="177" t="s">
        <v>329</v>
      </c>
      <c r="L25" s="178" t="s">
        <v>381</v>
      </c>
    </row>
    <row r="26" spans="2:12" ht="15.75" thickBot="1">
      <c r="B26" s="258" t="s">
        <v>382</v>
      </c>
      <c r="C26" s="259"/>
      <c r="D26" s="191" t="s">
        <v>383</v>
      </c>
      <c r="E26" s="177" t="s">
        <v>384</v>
      </c>
      <c r="F26" s="178" t="s">
        <v>385</v>
      </c>
      <c r="H26" s="258" t="s">
        <v>382</v>
      </c>
      <c r="I26" s="259"/>
      <c r="J26" s="191" t="s">
        <v>386</v>
      </c>
      <c r="K26" s="177" t="s">
        <v>387</v>
      </c>
      <c r="L26" s="178" t="s">
        <v>388</v>
      </c>
    </row>
    <row r="27" spans="2:12" ht="24" customHeight="1" thickBot="1">
      <c r="B27" s="263" t="s">
        <v>389</v>
      </c>
      <c r="C27" s="264"/>
      <c r="D27" s="191" t="s">
        <v>390</v>
      </c>
      <c r="E27" s="177" t="s">
        <v>391</v>
      </c>
      <c r="F27" s="178" t="s">
        <v>392</v>
      </c>
      <c r="H27" s="263" t="s">
        <v>389</v>
      </c>
      <c r="I27" s="264"/>
      <c r="J27" s="183" t="s">
        <v>329</v>
      </c>
      <c r="K27" s="183" t="s">
        <v>329</v>
      </c>
      <c r="L27" s="184" t="s">
        <v>329</v>
      </c>
    </row>
    <row r="28" spans="2:12" ht="16.5" thickTop="1" thickBot="1">
      <c r="B28" s="244"/>
      <c r="C28" s="245"/>
      <c r="D28" s="245"/>
      <c r="E28" s="245"/>
      <c r="F28" s="246"/>
      <c r="H28" s="244"/>
      <c r="I28" s="245"/>
      <c r="J28" s="245"/>
      <c r="K28" s="245"/>
      <c r="L28" s="246"/>
    </row>
    <row r="29" spans="2:12" ht="15.75" thickBot="1">
      <c r="B29" s="260" t="s">
        <v>393</v>
      </c>
      <c r="C29" s="261"/>
      <c r="D29" s="188" t="s">
        <v>394</v>
      </c>
      <c r="E29" s="189" t="s">
        <v>395</v>
      </c>
      <c r="F29" s="190" t="s">
        <v>396</v>
      </c>
      <c r="H29" s="260" t="s">
        <v>393</v>
      </c>
      <c r="I29" s="261"/>
      <c r="J29" s="188" t="s">
        <v>397</v>
      </c>
      <c r="K29" s="189" t="s">
        <v>398</v>
      </c>
      <c r="L29" s="190" t="s">
        <v>399</v>
      </c>
    </row>
    <row r="30" spans="2:12">
      <c r="B30" s="258"/>
      <c r="C30" s="257"/>
      <c r="D30" s="257"/>
      <c r="E30" s="257"/>
      <c r="F30" s="259"/>
      <c r="H30" s="258"/>
      <c r="I30" s="257"/>
      <c r="J30" s="257"/>
      <c r="K30" s="257"/>
      <c r="L30" s="259"/>
    </row>
    <row r="31" spans="2:12" ht="15.75" thickBot="1">
      <c r="B31" s="260" t="s">
        <v>400</v>
      </c>
      <c r="C31" s="261"/>
      <c r="D31" s="261"/>
      <c r="E31" s="261"/>
      <c r="F31" s="262"/>
      <c r="H31" s="260" t="s">
        <v>400</v>
      </c>
      <c r="I31" s="261"/>
      <c r="J31" s="261"/>
      <c r="K31" s="261"/>
      <c r="L31" s="262"/>
    </row>
    <row r="32" spans="2:12" ht="15.75" thickBot="1">
      <c r="B32" s="267" t="s">
        <v>401</v>
      </c>
      <c r="C32" s="269"/>
      <c r="D32" s="269"/>
      <c r="E32" s="269"/>
      <c r="F32" s="268"/>
      <c r="H32" s="258" t="s">
        <v>401</v>
      </c>
      <c r="I32" s="257"/>
      <c r="J32" s="257"/>
      <c r="K32" s="257"/>
      <c r="L32" s="259"/>
    </row>
    <row r="33" spans="2:12" ht="24.75" customHeight="1" thickBot="1">
      <c r="B33" s="175"/>
      <c r="C33" s="182" t="s">
        <v>402</v>
      </c>
      <c r="D33" s="183" t="s">
        <v>403</v>
      </c>
      <c r="E33" s="183" t="s">
        <v>404</v>
      </c>
      <c r="F33" s="184" t="s">
        <v>405</v>
      </c>
      <c r="H33" s="175"/>
      <c r="I33" s="182" t="s">
        <v>402</v>
      </c>
      <c r="J33" s="191" t="s">
        <v>406</v>
      </c>
      <c r="K33" s="177" t="s">
        <v>407</v>
      </c>
      <c r="L33" s="178" t="s">
        <v>408</v>
      </c>
    </row>
    <row r="34" spans="2:12" ht="48.75" customHeight="1" thickBot="1">
      <c r="B34" s="175"/>
      <c r="C34" s="182" t="s">
        <v>409</v>
      </c>
      <c r="D34" s="183" t="s">
        <v>329</v>
      </c>
      <c r="E34" s="183" t="s">
        <v>329</v>
      </c>
      <c r="F34" s="184" t="s">
        <v>329</v>
      </c>
      <c r="H34" s="175"/>
      <c r="I34" s="182" t="s">
        <v>409</v>
      </c>
      <c r="J34" s="191" t="s">
        <v>410</v>
      </c>
      <c r="K34" s="177" t="s">
        <v>411</v>
      </c>
      <c r="L34" s="178" t="s">
        <v>412</v>
      </c>
    </row>
    <row r="35" spans="2:12" ht="25.5" customHeight="1" thickBot="1">
      <c r="B35" s="192"/>
      <c r="C35" s="185" t="s">
        <v>413</v>
      </c>
      <c r="D35" s="186" t="s">
        <v>414</v>
      </c>
      <c r="E35" s="186" t="s">
        <v>415</v>
      </c>
      <c r="F35" s="187">
        <v>124.383</v>
      </c>
      <c r="H35" s="175"/>
      <c r="I35" s="182" t="s">
        <v>413</v>
      </c>
      <c r="J35" s="183" t="s">
        <v>329</v>
      </c>
      <c r="K35" s="183" t="s">
        <v>329</v>
      </c>
      <c r="L35" s="184" t="s">
        <v>329</v>
      </c>
    </row>
    <row r="36" spans="2:12" ht="16.5" thickTop="1" thickBot="1">
      <c r="B36" s="244"/>
      <c r="C36" s="245"/>
      <c r="D36" s="245"/>
      <c r="E36" s="245"/>
      <c r="F36" s="246"/>
      <c r="H36" s="244"/>
      <c r="I36" s="245"/>
      <c r="J36" s="245"/>
      <c r="K36" s="245"/>
      <c r="L36" s="246"/>
    </row>
    <row r="37" spans="2:12" ht="15.75" thickBot="1">
      <c r="B37" s="265" t="s">
        <v>416</v>
      </c>
      <c r="C37" s="266"/>
      <c r="D37" s="188" t="s">
        <v>417</v>
      </c>
      <c r="E37" s="189" t="s">
        <v>418</v>
      </c>
      <c r="F37" s="190" t="s">
        <v>419</v>
      </c>
      <c r="H37" s="260" t="s">
        <v>416</v>
      </c>
      <c r="I37" s="261"/>
      <c r="J37" s="188" t="s">
        <v>420</v>
      </c>
      <c r="K37" s="189" t="s">
        <v>421</v>
      </c>
      <c r="L37" s="190" t="s">
        <v>422</v>
      </c>
    </row>
    <row r="38" spans="2:12" ht="24" customHeight="1" thickBot="1">
      <c r="B38" s="267" t="s">
        <v>423</v>
      </c>
      <c r="C38" s="268"/>
      <c r="D38" s="191" t="s">
        <v>329</v>
      </c>
      <c r="E38" s="177" t="s">
        <v>424</v>
      </c>
      <c r="F38" s="178" t="s">
        <v>425</v>
      </c>
      <c r="H38" s="258" t="s">
        <v>423</v>
      </c>
      <c r="I38" s="257"/>
      <c r="J38" s="191" t="s">
        <v>426</v>
      </c>
      <c r="K38" s="177" t="s">
        <v>427</v>
      </c>
      <c r="L38" s="178" t="s">
        <v>428</v>
      </c>
    </row>
    <row r="39" spans="2:12" ht="15.75" thickBot="1">
      <c r="B39" s="258" t="s">
        <v>429</v>
      </c>
      <c r="C39" s="259"/>
      <c r="D39" s="191" t="s">
        <v>430</v>
      </c>
      <c r="E39" s="177" t="s">
        <v>431</v>
      </c>
      <c r="F39" s="178" t="s">
        <v>432</v>
      </c>
      <c r="H39" s="258" t="s">
        <v>429</v>
      </c>
      <c r="I39" s="257"/>
      <c r="J39" s="191" t="s">
        <v>433</v>
      </c>
      <c r="K39" s="177" t="s">
        <v>434</v>
      </c>
      <c r="L39" s="178" t="s">
        <v>435</v>
      </c>
    </row>
    <row r="40" spans="2:12" ht="24" customHeight="1" thickBot="1">
      <c r="B40" s="258" t="s">
        <v>436</v>
      </c>
      <c r="C40" s="259"/>
      <c r="D40" s="191" t="s">
        <v>437</v>
      </c>
      <c r="E40" s="177" t="s">
        <v>438</v>
      </c>
      <c r="F40" s="178" t="s">
        <v>439</v>
      </c>
      <c r="H40" s="258" t="s">
        <v>436</v>
      </c>
      <c r="I40" s="257"/>
      <c r="J40" s="191" t="s">
        <v>440</v>
      </c>
      <c r="K40" s="177" t="s">
        <v>441</v>
      </c>
      <c r="L40" s="178" t="s">
        <v>442</v>
      </c>
    </row>
    <row r="41" spans="2:12" ht="15.75" thickBot="1">
      <c r="B41" s="258" t="s">
        <v>443</v>
      </c>
      <c r="C41" s="259"/>
      <c r="D41" s="191" t="s">
        <v>444</v>
      </c>
      <c r="E41" s="177" t="s">
        <v>329</v>
      </c>
      <c r="F41" s="178" t="s">
        <v>381</v>
      </c>
      <c r="H41" s="258" t="s">
        <v>443</v>
      </c>
      <c r="I41" s="257"/>
      <c r="J41" s="183" t="s">
        <v>329</v>
      </c>
      <c r="K41" s="183" t="s">
        <v>329</v>
      </c>
      <c r="L41" s="184" t="s">
        <v>329</v>
      </c>
    </row>
    <row r="42" spans="2:12" ht="15.75" customHeight="1" thickBot="1">
      <c r="B42" s="263" t="s">
        <v>445</v>
      </c>
      <c r="C42" s="264"/>
      <c r="D42" s="191" t="s">
        <v>329</v>
      </c>
      <c r="E42" s="177" t="s">
        <v>329</v>
      </c>
      <c r="F42" s="178" t="s">
        <v>381</v>
      </c>
      <c r="H42" s="252" t="s">
        <v>445</v>
      </c>
      <c r="I42" s="254"/>
      <c r="J42" s="183" t="s">
        <v>329</v>
      </c>
      <c r="K42" s="183" t="s">
        <v>329</v>
      </c>
      <c r="L42" s="184" t="s">
        <v>329</v>
      </c>
    </row>
    <row r="43" spans="2:12" ht="16.5" thickTop="1" thickBot="1">
      <c r="B43" s="244"/>
      <c r="C43" s="245"/>
      <c r="D43" s="245"/>
      <c r="E43" s="245"/>
      <c r="F43" s="246"/>
      <c r="H43" s="244"/>
      <c r="I43" s="245"/>
      <c r="J43" s="245"/>
      <c r="K43" s="245"/>
      <c r="L43" s="246"/>
    </row>
    <row r="44" spans="2:12" ht="15.75" thickBot="1">
      <c r="B44" s="260" t="s">
        <v>446</v>
      </c>
      <c r="C44" s="261"/>
      <c r="D44" s="188" t="s">
        <v>447</v>
      </c>
      <c r="E44" s="189" t="s">
        <v>448</v>
      </c>
      <c r="F44" s="190">
        <v>460.92</v>
      </c>
      <c r="H44" s="260" t="s">
        <v>446</v>
      </c>
      <c r="I44" s="261"/>
      <c r="J44" s="188" t="s">
        <v>449</v>
      </c>
      <c r="K44" s="189" t="s">
        <v>450</v>
      </c>
      <c r="L44" s="190" t="s">
        <v>451</v>
      </c>
    </row>
    <row r="45" spans="2:12" ht="24" customHeight="1">
      <c r="B45" s="258"/>
      <c r="C45" s="257"/>
      <c r="D45" s="257"/>
      <c r="E45" s="257"/>
      <c r="F45" s="259"/>
      <c r="H45" s="258"/>
      <c r="I45" s="257"/>
      <c r="J45" s="257"/>
      <c r="K45" s="257"/>
      <c r="L45" s="259"/>
    </row>
    <row r="46" spans="2:12" ht="15.75" thickBot="1">
      <c r="B46" s="260" t="s">
        <v>452</v>
      </c>
      <c r="C46" s="261"/>
      <c r="D46" s="261"/>
      <c r="E46" s="261"/>
      <c r="F46" s="262"/>
      <c r="H46" s="260" t="s">
        <v>452</v>
      </c>
      <c r="I46" s="261"/>
      <c r="J46" s="261"/>
      <c r="K46" s="261"/>
      <c r="L46" s="262"/>
    </row>
    <row r="47" spans="2:12" ht="24" customHeight="1" thickBot="1">
      <c r="B47" s="257" t="s">
        <v>453</v>
      </c>
      <c r="C47" s="257"/>
      <c r="D47" s="191" t="s">
        <v>329</v>
      </c>
      <c r="E47" s="177" t="s">
        <v>329</v>
      </c>
      <c r="F47" s="178" t="s">
        <v>329</v>
      </c>
      <c r="H47" s="258" t="s">
        <v>453</v>
      </c>
      <c r="I47" s="257"/>
      <c r="J47" s="183" t="s">
        <v>329</v>
      </c>
      <c r="K47" s="183" t="s">
        <v>329</v>
      </c>
      <c r="L47" s="184" t="s">
        <v>329</v>
      </c>
    </row>
    <row r="48" spans="2:12" ht="15" customHeight="1">
      <c r="B48" s="257" t="s">
        <v>454</v>
      </c>
      <c r="C48" s="257"/>
      <c r="D48" s="183" t="s">
        <v>329</v>
      </c>
      <c r="E48" s="183" t="s">
        <v>329</v>
      </c>
      <c r="F48" s="184" t="s">
        <v>329</v>
      </c>
      <c r="H48" s="258" t="s">
        <v>454</v>
      </c>
      <c r="I48" s="257"/>
      <c r="J48" s="183" t="s">
        <v>329</v>
      </c>
      <c r="K48" s="183" t="s">
        <v>329</v>
      </c>
      <c r="L48" s="184" t="s">
        <v>329</v>
      </c>
    </row>
    <row r="49" spans="2:12" ht="15.75" thickBot="1">
      <c r="B49" s="257" t="s">
        <v>455</v>
      </c>
      <c r="C49" s="257"/>
      <c r="D49" s="183" t="s">
        <v>329</v>
      </c>
      <c r="E49" s="183" t="s">
        <v>329</v>
      </c>
      <c r="F49" s="184" t="s">
        <v>329</v>
      </c>
      <c r="H49" s="258" t="s">
        <v>455</v>
      </c>
      <c r="I49" s="257"/>
      <c r="J49" s="183" t="s">
        <v>329</v>
      </c>
      <c r="K49" s="183" t="s">
        <v>329</v>
      </c>
      <c r="L49" s="184" t="s">
        <v>329</v>
      </c>
    </row>
    <row r="50" spans="2:12" ht="24" customHeight="1" thickBot="1">
      <c r="B50" s="257" t="s">
        <v>456</v>
      </c>
      <c r="C50" s="257"/>
      <c r="D50" s="191" t="s">
        <v>457</v>
      </c>
      <c r="E50" s="177" t="s">
        <v>458</v>
      </c>
      <c r="F50" s="178" t="s">
        <v>459</v>
      </c>
      <c r="H50" s="258" t="s">
        <v>456</v>
      </c>
      <c r="I50" s="257"/>
      <c r="J50" s="191" t="s">
        <v>460</v>
      </c>
      <c r="K50" s="177" t="s">
        <v>460</v>
      </c>
      <c r="L50" s="178" t="s">
        <v>461</v>
      </c>
    </row>
    <row r="51" spans="2:12" ht="15.75" thickBot="1">
      <c r="B51" s="257" t="s">
        <v>462</v>
      </c>
      <c r="C51" s="257"/>
      <c r="D51" s="191" t="s">
        <v>463</v>
      </c>
      <c r="E51" s="177" t="s">
        <v>464</v>
      </c>
      <c r="F51" s="178" t="s">
        <v>465</v>
      </c>
      <c r="H51" s="258" t="s">
        <v>462</v>
      </c>
      <c r="I51" s="257"/>
      <c r="J51" s="191" t="s">
        <v>466</v>
      </c>
      <c r="K51" s="177" t="s">
        <v>467</v>
      </c>
      <c r="L51" s="178" t="s">
        <v>468</v>
      </c>
    </row>
    <row r="52" spans="2:12" ht="24" customHeight="1" thickBot="1">
      <c r="B52" s="257" t="s">
        <v>469</v>
      </c>
      <c r="C52" s="257"/>
      <c r="D52" s="183" t="s">
        <v>329</v>
      </c>
      <c r="E52" s="183" t="s">
        <v>329</v>
      </c>
      <c r="F52" s="184" t="s">
        <v>329</v>
      </c>
      <c r="H52" s="258" t="s">
        <v>469</v>
      </c>
      <c r="I52" s="257"/>
      <c r="J52" s="191" t="s">
        <v>470</v>
      </c>
      <c r="K52" s="177">
        <v>-904.2</v>
      </c>
      <c r="L52" s="178">
        <v>-609.5</v>
      </c>
    </row>
    <row r="53" spans="2:12" ht="15.75" thickBot="1">
      <c r="B53" s="257" t="s">
        <v>471</v>
      </c>
      <c r="C53" s="257"/>
      <c r="D53" s="183" t="s">
        <v>329</v>
      </c>
      <c r="E53" s="183" t="s">
        <v>329</v>
      </c>
      <c r="F53" s="184" t="s">
        <v>329</v>
      </c>
      <c r="H53" s="258" t="s">
        <v>471</v>
      </c>
      <c r="I53" s="257"/>
      <c r="J53" s="191" t="s">
        <v>472</v>
      </c>
      <c r="K53" s="177" t="s">
        <v>473</v>
      </c>
      <c r="L53" s="178" t="s">
        <v>474</v>
      </c>
    </row>
    <row r="54" spans="2:12" ht="15.75" thickBot="1">
      <c r="B54" s="252" t="s">
        <v>475</v>
      </c>
      <c r="C54" s="253"/>
      <c r="D54" s="191" t="s">
        <v>476</v>
      </c>
      <c r="E54" s="177" t="s">
        <v>477</v>
      </c>
      <c r="F54" s="178" t="s">
        <v>478</v>
      </c>
      <c r="H54" s="252" t="s">
        <v>475</v>
      </c>
      <c r="I54" s="254"/>
      <c r="J54" s="191" t="s">
        <v>479</v>
      </c>
      <c r="K54" s="177" t="s">
        <v>480</v>
      </c>
      <c r="L54" s="178" t="s">
        <v>481</v>
      </c>
    </row>
    <row r="55" spans="2:12" ht="16.5" thickTop="1" thickBot="1">
      <c r="B55" s="244"/>
      <c r="C55" s="245"/>
      <c r="D55" s="245"/>
      <c r="E55" s="245"/>
      <c r="F55" s="246"/>
      <c r="H55" s="244"/>
      <c r="I55" s="245"/>
      <c r="J55" s="245"/>
      <c r="K55" s="245"/>
      <c r="L55" s="246"/>
    </row>
    <row r="56" spans="2:12" ht="15.75" thickBot="1">
      <c r="B56" s="255" t="s">
        <v>482</v>
      </c>
      <c r="C56" s="256"/>
      <c r="D56" s="188" t="s">
        <v>483</v>
      </c>
      <c r="E56" s="189" t="s">
        <v>484</v>
      </c>
      <c r="F56" s="190">
        <v>676.14</v>
      </c>
      <c r="H56" s="255" t="s">
        <v>482</v>
      </c>
      <c r="I56" s="256"/>
      <c r="J56" s="188" t="s">
        <v>485</v>
      </c>
      <c r="K56" s="189" t="s">
        <v>486</v>
      </c>
      <c r="L56" s="190" t="s">
        <v>487</v>
      </c>
    </row>
    <row r="57" spans="2:12" ht="16.5" thickTop="1" thickBot="1">
      <c r="B57" s="244"/>
      <c r="C57" s="245"/>
      <c r="D57" s="245"/>
      <c r="E57" s="245"/>
      <c r="F57" s="246"/>
      <c r="H57" s="244"/>
      <c r="I57" s="245"/>
      <c r="J57" s="245"/>
      <c r="K57" s="245"/>
      <c r="L57" s="246"/>
    </row>
    <row r="58" spans="2:12" ht="15.75" thickBot="1">
      <c r="B58" s="247" t="s">
        <v>488</v>
      </c>
      <c r="C58" s="248"/>
      <c r="D58" s="193" t="s">
        <v>489</v>
      </c>
      <c r="E58" s="194" t="s">
        <v>490</v>
      </c>
      <c r="F58" s="195" t="s">
        <v>491</v>
      </c>
      <c r="H58" s="247" t="s">
        <v>488</v>
      </c>
      <c r="I58" s="248"/>
      <c r="J58" s="188">
        <v>-823.3</v>
      </c>
      <c r="K58" s="189">
        <v>-954.2</v>
      </c>
      <c r="L58" s="190">
        <v>-919.3</v>
      </c>
    </row>
    <row r="59" spans="2:12" ht="15.75" thickBot="1">
      <c r="B59" t="s">
        <v>492</v>
      </c>
      <c r="D59" s="249"/>
      <c r="E59" s="250"/>
      <c r="F59" s="251"/>
    </row>
  </sheetData>
  <mergeCells count="83">
    <mergeCell ref="B10:C10"/>
    <mergeCell ref="H10:I10"/>
    <mergeCell ref="B11:F11"/>
    <mergeCell ref="H11:L11"/>
    <mergeCell ref="B12:F12"/>
    <mergeCell ref="H12:L12"/>
    <mergeCell ref="B13:F13"/>
    <mergeCell ref="H13:L13"/>
    <mergeCell ref="B19:F19"/>
    <mergeCell ref="H19:L19"/>
    <mergeCell ref="B20:C20"/>
    <mergeCell ref="H20:I20"/>
    <mergeCell ref="B21:C21"/>
    <mergeCell ref="H21:I21"/>
    <mergeCell ref="B22:C22"/>
    <mergeCell ref="H22:I22"/>
    <mergeCell ref="B23:C23"/>
    <mergeCell ref="H23:I23"/>
    <mergeCell ref="B24:C24"/>
    <mergeCell ref="H24:I24"/>
    <mergeCell ref="B25:C25"/>
    <mergeCell ref="H25:I25"/>
    <mergeCell ref="B26:C26"/>
    <mergeCell ref="H26:I26"/>
    <mergeCell ref="B27:C27"/>
    <mergeCell ref="H27:I27"/>
    <mergeCell ref="B28:F28"/>
    <mergeCell ref="H28:L28"/>
    <mergeCell ref="B29:C29"/>
    <mergeCell ref="H29:I29"/>
    <mergeCell ref="B30:F30"/>
    <mergeCell ref="H30:L30"/>
    <mergeCell ref="B31:F31"/>
    <mergeCell ref="H31:L31"/>
    <mergeCell ref="B32:F32"/>
    <mergeCell ref="H32:L32"/>
    <mergeCell ref="B36:F36"/>
    <mergeCell ref="H36:L36"/>
    <mergeCell ref="B37:C37"/>
    <mergeCell ref="H37:I37"/>
    <mergeCell ref="B38:C38"/>
    <mergeCell ref="H38:I38"/>
    <mergeCell ref="B39:C39"/>
    <mergeCell ref="H39:I39"/>
    <mergeCell ref="B40:C40"/>
    <mergeCell ref="H40:I40"/>
    <mergeCell ref="B41:C41"/>
    <mergeCell ref="H41:I41"/>
    <mergeCell ref="B42:C42"/>
    <mergeCell ref="H42:I42"/>
    <mergeCell ref="B43:F43"/>
    <mergeCell ref="H43:L43"/>
    <mergeCell ref="B44:C44"/>
    <mergeCell ref="H44:I44"/>
    <mergeCell ref="B45:F45"/>
    <mergeCell ref="H45:L45"/>
    <mergeCell ref="B46:F46"/>
    <mergeCell ref="H46:L46"/>
    <mergeCell ref="B47:C47"/>
    <mergeCell ref="H47:I47"/>
    <mergeCell ref="B48:C48"/>
    <mergeCell ref="H48:I48"/>
    <mergeCell ref="B49:C49"/>
    <mergeCell ref="H49:I49"/>
    <mergeCell ref="B50:C50"/>
    <mergeCell ref="H50:I50"/>
    <mergeCell ref="B51:C51"/>
    <mergeCell ref="H51:I51"/>
    <mergeCell ref="B52:C52"/>
    <mergeCell ref="H52:I52"/>
    <mergeCell ref="B53:C53"/>
    <mergeCell ref="H53:I53"/>
    <mergeCell ref="B54:C54"/>
    <mergeCell ref="H54:I54"/>
    <mergeCell ref="B55:F55"/>
    <mergeCell ref="H55:L55"/>
    <mergeCell ref="B56:C56"/>
    <mergeCell ref="H56:I56"/>
    <mergeCell ref="B57:F57"/>
    <mergeCell ref="H57:L57"/>
    <mergeCell ref="B58:C58"/>
    <mergeCell ref="H58:I58"/>
    <mergeCell ref="D59:F59"/>
  </mergeCells>
  <pageMargins left="0.70866141732283472" right="0.70866141732283472" top="0.74803149606299213" bottom="0.74803149606299213" header="0.31496062992125984" footer="0.31496062992125984"/>
  <pageSetup paperSize="9" scale="47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231"/>
  <sheetViews>
    <sheetView showGridLines="0" workbookViewId="0"/>
  </sheetViews>
  <sheetFormatPr baseColWidth="10" defaultRowHeight="15"/>
  <cols>
    <col min="2" max="2" width="29.7109375" customWidth="1"/>
    <col min="3" max="3" width="15" customWidth="1"/>
    <col min="4" max="4" width="12" bestFit="1" customWidth="1"/>
    <col min="7" max="7" width="12" bestFit="1" customWidth="1"/>
    <col min="8" max="8" width="12" customWidth="1"/>
    <col min="9" max="9" width="12.5703125" bestFit="1" customWidth="1"/>
    <col min="10" max="11" width="12" bestFit="1" customWidth="1"/>
    <col min="12" max="12" width="13" bestFit="1" customWidth="1"/>
    <col min="13" max="13" width="13" hidden="1" customWidth="1"/>
    <col min="14" max="14" width="16.7109375" hidden="1" customWidth="1"/>
    <col min="15" max="16" width="13" hidden="1" customWidth="1"/>
  </cols>
  <sheetData>
    <row r="2" spans="1:3" ht="21">
      <c r="B2" s="169" t="s">
        <v>572</v>
      </c>
    </row>
    <row r="3" spans="1:3" ht="21">
      <c r="B3" s="169"/>
    </row>
    <row r="4" spans="1:3" ht="21">
      <c r="B4" s="97" t="s">
        <v>207</v>
      </c>
    </row>
    <row r="5" spans="1:3" hidden="1"/>
    <row r="6" spans="1:3" hidden="1">
      <c r="A6" s="4" t="s">
        <v>164</v>
      </c>
      <c r="B6" s="70" t="s">
        <v>93</v>
      </c>
    </row>
    <row r="7" spans="1:3" hidden="1"/>
    <row r="8" spans="1:3" hidden="1">
      <c r="B8" s="96" t="s">
        <v>165</v>
      </c>
      <c r="C8" s="98" t="s">
        <v>166</v>
      </c>
    </row>
    <row r="9" spans="1:3" hidden="1">
      <c r="B9" s="9" t="s">
        <v>167</v>
      </c>
      <c r="C9" s="99">
        <v>0.6</v>
      </c>
    </row>
    <row r="10" spans="1:3" hidden="1">
      <c r="B10" s="9" t="s">
        <v>168</v>
      </c>
      <c r="C10" s="99">
        <f>100%-C9</f>
        <v>0.4</v>
      </c>
    </row>
    <row r="11" spans="1:3" hidden="1">
      <c r="C11" s="38"/>
    </row>
    <row r="12" spans="1:3" hidden="1">
      <c r="B12" t="s">
        <v>169</v>
      </c>
      <c r="C12" s="38">
        <v>2000</v>
      </c>
    </row>
    <row r="13" spans="1:3" hidden="1">
      <c r="B13" t="s">
        <v>170</v>
      </c>
      <c r="C13" s="38">
        <f>C12*C10/C9</f>
        <v>1333.3333333333335</v>
      </c>
    </row>
    <row r="14" spans="1:3" hidden="1">
      <c r="B14" t="s">
        <v>171</v>
      </c>
      <c r="C14" s="100">
        <f>SUM(C12:C13)</f>
        <v>3333.3333333333335</v>
      </c>
    </row>
    <row r="15" spans="1:3" hidden="1"/>
    <row r="16" spans="1:3" hidden="1">
      <c r="B16" s="5" t="s">
        <v>172</v>
      </c>
    </row>
    <row r="17" spans="1:10" hidden="1"/>
    <row r="18" spans="1:10" hidden="1">
      <c r="B18" t="s">
        <v>173</v>
      </c>
    </row>
    <row r="19" spans="1:10" hidden="1">
      <c r="B19" t="s">
        <v>174</v>
      </c>
    </row>
    <row r="20" spans="1:10" hidden="1">
      <c r="B20" t="s">
        <v>175</v>
      </c>
    </row>
    <row r="21" spans="1:10" hidden="1">
      <c r="B21" t="s">
        <v>176</v>
      </c>
    </row>
    <row r="22" spans="1:10" hidden="1">
      <c r="B22" t="s">
        <v>177</v>
      </c>
    </row>
    <row r="23" spans="1:10" hidden="1"/>
    <row r="24" spans="1:10" hidden="1">
      <c r="A24" s="4" t="s">
        <v>178</v>
      </c>
      <c r="B24" s="70" t="s">
        <v>179</v>
      </c>
    </row>
    <row r="25" spans="1:10" hidden="1"/>
    <row r="26" spans="1:10" hidden="1">
      <c r="B26" s="96" t="s">
        <v>165</v>
      </c>
      <c r="C26" s="98" t="s">
        <v>166</v>
      </c>
    </row>
    <row r="27" spans="1:10" hidden="1">
      <c r="B27" s="9" t="s">
        <v>167</v>
      </c>
      <c r="C27" s="99">
        <v>0.35</v>
      </c>
    </row>
    <row r="28" spans="1:10" ht="15.75" hidden="1">
      <c r="B28" s="9" t="s">
        <v>168</v>
      </c>
      <c r="C28" s="99">
        <f>100%-C27</f>
        <v>0.65</v>
      </c>
      <c r="J28" s="101"/>
    </row>
    <row r="29" spans="1:10" ht="15.75" hidden="1">
      <c r="C29" s="38"/>
      <c r="J29" s="101"/>
    </row>
    <row r="30" spans="1:10" ht="15.75" hidden="1">
      <c r="B30" t="s">
        <v>169</v>
      </c>
      <c r="C30" s="38">
        <v>750</v>
      </c>
      <c r="J30" s="101"/>
    </row>
    <row r="31" spans="1:10" ht="15.75" hidden="1">
      <c r="B31" t="s">
        <v>170</v>
      </c>
      <c r="C31" s="38">
        <f>C30*C28/C27</f>
        <v>1392.8571428571429</v>
      </c>
      <c r="J31" s="101"/>
    </row>
    <row r="32" spans="1:10" hidden="1">
      <c r="B32" t="s">
        <v>171</v>
      </c>
      <c r="C32" s="100">
        <f>SUM(C30:C31)</f>
        <v>2142.8571428571431</v>
      </c>
    </row>
    <row r="33" spans="2:16" hidden="1"/>
    <row r="34" spans="2:16" ht="15.75" hidden="1">
      <c r="B34" s="5" t="s">
        <v>172</v>
      </c>
      <c r="J34" s="101"/>
    </row>
    <row r="35" spans="2:16" hidden="1"/>
    <row r="36" spans="2:16" hidden="1">
      <c r="B36" t="s">
        <v>173</v>
      </c>
    </row>
    <row r="37" spans="2:16" hidden="1">
      <c r="B37" t="s">
        <v>174</v>
      </c>
    </row>
    <row r="38" spans="2:16" hidden="1">
      <c r="B38" t="s">
        <v>180</v>
      </c>
    </row>
    <row r="39" spans="2:16" hidden="1">
      <c r="B39" t="s">
        <v>176</v>
      </c>
    </row>
    <row r="40" spans="2:16" hidden="1">
      <c r="B40" t="s">
        <v>177</v>
      </c>
    </row>
    <row r="41" spans="2:16" hidden="1">
      <c r="B41" t="s">
        <v>181</v>
      </c>
    </row>
    <row r="42" spans="2:16" hidden="1"/>
    <row r="44" spans="2:16">
      <c r="B44" s="5" t="s">
        <v>206</v>
      </c>
    </row>
    <row r="45" spans="2:16">
      <c r="E45" s="226" t="s">
        <v>151</v>
      </c>
      <c r="F45" s="226"/>
      <c r="H45" s="85">
        <v>1.5</v>
      </c>
      <c r="J45" s="85">
        <v>0.45</v>
      </c>
    </row>
    <row r="46" spans="2:16" s="102" customFormat="1" ht="61.5" customHeight="1">
      <c r="B46" s="86" t="s">
        <v>152</v>
      </c>
      <c r="C46" s="86" t="s">
        <v>153</v>
      </c>
      <c r="D46" s="86" t="s">
        <v>154</v>
      </c>
      <c r="E46" s="86" t="s">
        <v>155</v>
      </c>
      <c r="F46" s="86" t="s">
        <v>156</v>
      </c>
      <c r="G46" s="86" t="s">
        <v>157</v>
      </c>
      <c r="H46" s="86" t="s">
        <v>158</v>
      </c>
      <c r="I46" s="86" t="s">
        <v>159</v>
      </c>
      <c r="J46" s="86" t="s">
        <v>160</v>
      </c>
      <c r="K46" s="86" t="s">
        <v>161</v>
      </c>
      <c r="L46" s="86" t="s">
        <v>162</v>
      </c>
      <c r="P46" s="103"/>
    </row>
    <row r="47" spans="2:16">
      <c r="B47" s="87" t="s">
        <v>163</v>
      </c>
      <c r="C47" s="88">
        <f>SUM(C48:C55)</f>
        <v>15</v>
      </c>
      <c r="D47" s="88"/>
      <c r="E47" s="89"/>
      <c r="F47" s="90"/>
      <c r="G47" s="88"/>
      <c r="H47" s="91">
        <f>SUM(H48:H55)</f>
        <v>4089.2857142857147</v>
      </c>
      <c r="I47" s="91">
        <f>SUM(I48:I55)</f>
        <v>12239.285714285714</v>
      </c>
      <c r="J47" s="91">
        <f>SUM(J48:J55)</f>
        <v>17544.464285714286</v>
      </c>
      <c r="K47" s="91">
        <f>SUM(K48:K55)</f>
        <v>35362.321428571428</v>
      </c>
      <c r="L47" s="91">
        <f>SUM(L48:L55)</f>
        <v>424347.85714285716</v>
      </c>
      <c r="M47" s="38"/>
      <c r="N47" s="104"/>
      <c r="O47" s="104"/>
    </row>
    <row r="48" spans="2:16">
      <c r="B48" s="9" t="s">
        <v>93</v>
      </c>
      <c r="C48" s="92">
        <v>1</v>
      </c>
      <c r="D48" s="35">
        <f>C12</f>
        <v>2000</v>
      </c>
      <c r="E48" s="93">
        <f>C9</f>
        <v>0.6</v>
      </c>
      <c r="F48" s="94">
        <f t="shared" ref="F48:F55" si="0">100%-E48</f>
        <v>0.4</v>
      </c>
      <c r="G48" s="35">
        <f>D48*F48/E48</f>
        <v>1333.3333333333335</v>
      </c>
      <c r="H48" s="35">
        <f>G48*$H$45</f>
        <v>2000.0000000000002</v>
      </c>
      <c r="I48" s="35">
        <f t="shared" ref="I48:I55" si="1">D48+H48</f>
        <v>4000</v>
      </c>
      <c r="J48" s="35">
        <f>I48*(1+$J$45)</f>
        <v>5800</v>
      </c>
      <c r="K48" s="35">
        <f t="shared" ref="K48:K55" si="2">J48*C48</f>
        <v>5800</v>
      </c>
      <c r="L48" s="35">
        <f>K48*12</f>
        <v>69600</v>
      </c>
      <c r="N48" s="38"/>
    </row>
    <row r="49" spans="2:16">
      <c r="B49" s="9" t="s">
        <v>94</v>
      </c>
      <c r="C49" s="95">
        <v>5</v>
      </c>
      <c r="D49" s="35">
        <f>C30</f>
        <v>750</v>
      </c>
      <c r="E49" s="93">
        <f>C27</f>
        <v>0.35</v>
      </c>
      <c r="F49" s="94">
        <f t="shared" si="0"/>
        <v>0.65</v>
      </c>
      <c r="G49" s="35">
        <f t="shared" ref="G49:G55" si="3">D49*F49/E49</f>
        <v>1392.8571428571429</v>
      </c>
      <c r="H49" s="35">
        <f>G49*$H$45</f>
        <v>2089.2857142857142</v>
      </c>
      <c r="I49" s="35">
        <f t="shared" si="1"/>
        <v>2839.2857142857142</v>
      </c>
      <c r="J49" s="35">
        <f>I49*(1+$J$45)</f>
        <v>4116.9642857142853</v>
      </c>
      <c r="K49" s="35">
        <f t="shared" si="2"/>
        <v>20584.821428571428</v>
      </c>
      <c r="L49" s="35">
        <f t="shared" ref="L49:L55" si="4">K49*12</f>
        <v>247017.85714285713</v>
      </c>
      <c r="M49" s="38"/>
      <c r="N49" s="38"/>
      <c r="O49" s="38"/>
    </row>
    <row r="50" spans="2:16">
      <c r="B50" s="9" t="s">
        <v>95</v>
      </c>
      <c r="C50" s="92">
        <v>1</v>
      </c>
      <c r="D50" s="35">
        <v>1500</v>
      </c>
      <c r="E50" s="93">
        <v>1</v>
      </c>
      <c r="F50" s="94">
        <f t="shared" si="0"/>
        <v>0</v>
      </c>
      <c r="G50" s="35">
        <f t="shared" si="3"/>
        <v>0</v>
      </c>
      <c r="H50" s="35">
        <f t="shared" ref="H50:H55" si="5">G50*120%</f>
        <v>0</v>
      </c>
      <c r="I50" s="35">
        <f t="shared" si="1"/>
        <v>1500</v>
      </c>
      <c r="J50" s="35">
        <f t="shared" ref="J50:J53" si="6">I50*(1+$J$45)</f>
        <v>2175</v>
      </c>
      <c r="K50" s="35">
        <f t="shared" si="2"/>
        <v>2175</v>
      </c>
      <c r="L50" s="35">
        <f t="shared" si="4"/>
        <v>26100</v>
      </c>
      <c r="N50" s="38"/>
    </row>
    <row r="51" spans="2:16">
      <c r="B51" s="9" t="s">
        <v>96</v>
      </c>
      <c r="C51" s="92">
        <v>1</v>
      </c>
      <c r="D51" s="35">
        <v>750</v>
      </c>
      <c r="E51" s="93">
        <v>1</v>
      </c>
      <c r="F51" s="94">
        <f t="shared" si="0"/>
        <v>0</v>
      </c>
      <c r="G51" s="35">
        <f t="shared" si="3"/>
        <v>0</v>
      </c>
      <c r="H51" s="35">
        <f t="shared" si="5"/>
        <v>0</v>
      </c>
      <c r="I51" s="35">
        <f t="shared" si="1"/>
        <v>750</v>
      </c>
      <c r="J51" s="35">
        <f t="shared" si="6"/>
        <v>1087.5</v>
      </c>
      <c r="K51" s="35">
        <f t="shared" si="2"/>
        <v>1087.5</v>
      </c>
      <c r="L51" s="35">
        <f t="shared" si="4"/>
        <v>13050</v>
      </c>
      <c r="N51" s="38"/>
    </row>
    <row r="52" spans="2:16">
      <c r="B52" s="9" t="s">
        <v>97</v>
      </c>
      <c r="C52" s="92">
        <v>1</v>
      </c>
      <c r="D52" s="35">
        <v>1100</v>
      </c>
      <c r="E52" s="93">
        <v>1</v>
      </c>
      <c r="F52" s="94">
        <f t="shared" si="0"/>
        <v>0</v>
      </c>
      <c r="G52" s="35">
        <f t="shared" si="3"/>
        <v>0</v>
      </c>
      <c r="H52" s="35">
        <f t="shared" si="5"/>
        <v>0</v>
      </c>
      <c r="I52" s="35">
        <f t="shared" si="1"/>
        <v>1100</v>
      </c>
      <c r="J52" s="35">
        <f t="shared" si="6"/>
        <v>1595</v>
      </c>
      <c r="K52" s="35">
        <f t="shared" si="2"/>
        <v>1595</v>
      </c>
      <c r="L52" s="35">
        <f t="shared" si="4"/>
        <v>19140</v>
      </c>
      <c r="N52" s="38"/>
    </row>
    <row r="53" spans="2:16">
      <c r="B53" s="9" t="s">
        <v>98</v>
      </c>
      <c r="C53" s="92">
        <v>1</v>
      </c>
      <c r="D53" s="35">
        <v>750</v>
      </c>
      <c r="E53" s="93">
        <v>1</v>
      </c>
      <c r="F53" s="94">
        <f t="shared" si="0"/>
        <v>0</v>
      </c>
      <c r="G53" s="35">
        <f t="shared" si="3"/>
        <v>0</v>
      </c>
      <c r="H53" s="35">
        <f t="shared" si="5"/>
        <v>0</v>
      </c>
      <c r="I53" s="35">
        <f t="shared" si="1"/>
        <v>750</v>
      </c>
      <c r="J53" s="35">
        <f t="shared" si="6"/>
        <v>1087.5</v>
      </c>
      <c r="K53" s="35">
        <f t="shared" si="2"/>
        <v>1087.5</v>
      </c>
      <c r="L53" s="35">
        <f t="shared" si="4"/>
        <v>13050</v>
      </c>
      <c r="N53" s="38"/>
    </row>
    <row r="54" spans="2:16">
      <c r="B54" s="9" t="s">
        <v>99</v>
      </c>
      <c r="C54" s="92">
        <v>1</v>
      </c>
      <c r="D54" s="35">
        <v>850</v>
      </c>
      <c r="E54" s="93">
        <v>1</v>
      </c>
      <c r="F54" s="94">
        <f t="shared" si="0"/>
        <v>0</v>
      </c>
      <c r="G54" s="35">
        <f t="shared" si="3"/>
        <v>0</v>
      </c>
      <c r="H54" s="35">
        <f t="shared" si="5"/>
        <v>0</v>
      </c>
      <c r="I54" s="35">
        <f t="shared" si="1"/>
        <v>850</v>
      </c>
      <c r="J54" s="35">
        <f>I54*(1+$J$45)</f>
        <v>1232.5</v>
      </c>
      <c r="K54" s="35">
        <f t="shared" si="2"/>
        <v>1232.5</v>
      </c>
      <c r="L54" s="35">
        <f t="shared" si="4"/>
        <v>14790</v>
      </c>
      <c r="N54" s="38"/>
    </row>
    <row r="55" spans="2:16">
      <c r="B55" s="9" t="s">
        <v>100</v>
      </c>
      <c r="C55" s="92">
        <v>4</v>
      </c>
      <c r="D55" s="35">
        <v>450</v>
      </c>
      <c r="E55" s="93">
        <v>1</v>
      </c>
      <c r="F55" s="94">
        <f t="shared" si="0"/>
        <v>0</v>
      </c>
      <c r="G55" s="35">
        <f t="shared" si="3"/>
        <v>0</v>
      </c>
      <c r="H55" s="35">
        <f t="shared" si="5"/>
        <v>0</v>
      </c>
      <c r="I55" s="35">
        <f t="shared" si="1"/>
        <v>450</v>
      </c>
      <c r="J55" s="35">
        <f>I55</f>
        <v>450</v>
      </c>
      <c r="K55" s="35">
        <f t="shared" si="2"/>
        <v>1800</v>
      </c>
      <c r="L55" s="35">
        <f t="shared" si="4"/>
        <v>21600</v>
      </c>
      <c r="N55" s="38"/>
    </row>
    <row r="56" spans="2:16">
      <c r="C56" s="105"/>
      <c r="D56" s="38"/>
      <c r="E56" s="106"/>
      <c r="F56" s="107"/>
      <c r="G56" s="38"/>
      <c r="H56" s="38"/>
      <c r="I56" s="38"/>
      <c r="J56" s="38"/>
      <c r="M56" s="75"/>
      <c r="N56" s="108"/>
      <c r="O56" s="108"/>
      <c r="P56" s="108"/>
    </row>
    <row r="57" spans="2:16" hidden="1">
      <c r="C57" s="105"/>
      <c r="D57" s="38"/>
      <c r="E57" s="106"/>
      <c r="F57" s="107"/>
      <c r="G57" s="38"/>
      <c r="H57" s="38"/>
      <c r="I57" s="38"/>
      <c r="M57" s="75"/>
      <c r="N57" s="108"/>
      <c r="O57" s="108"/>
      <c r="P57" s="108"/>
    </row>
    <row r="58" spans="2:16" hidden="1">
      <c r="B58" s="5" t="s">
        <v>182</v>
      </c>
      <c r="C58" s="105"/>
      <c r="D58" s="38"/>
      <c r="E58" s="106"/>
      <c r="F58" s="107"/>
      <c r="G58" s="38"/>
      <c r="H58" s="38"/>
      <c r="I58" s="38"/>
      <c r="N58" s="32" t="s">
        <v>183</v>
      </c>
      <c r="O58" t="s">
        <v>184</v>
      </c>
    </row>
    <row r="59" spans="2:16" hidden="1">
      <c r="B59" s="5"/>
      <c r="C59" s="105"/>
      <c r="D59" s="38"/>
      <c r="E59" s="106"/>
      <c r="F59" s="107"/>
      <c r="G59" s="38"/>
      <c r="I59" s="38"/>
      <c r="M59" s="38" t="s">
        <v>167</v>
      </c>
      <c r="N59" s="109">
        <f>(D52+D53+D54)*1.45*12</f>
        <v>46980</v>
      </c>
      <c r="O59" s="109">
        <v>0</v>
      </c>
    </row>
    <row r="60" spans="2:16" hidden="1">
      <c r="B60" s="5" t="s">
        <v>185</v>
      </c>
      <c r="C60" s="110">
        <f>+L52+L53+L54</f>
        <v>46980</v>
      </c>
      <c r="D60" s="38"/>
      <c r="E60" s="106"/>
      <c r="F60" s="107"/>
      <c r="G60" s="38"/>
      <c r="H60" s="38"/>
      <c r="I60" s="38"/>
      <c r="J60" s="32"/>
      <c r="M60" s="32" t="s">
        <v>168</v>
      </c>
      <c r="N60" s="109">
        <v>0</v>
      </c>
      <c r="O60" s="109">
        <f>(H48+H49*5)*1.45*12+((D50+D51+D48+D49*5)*1.45+(D55*4))*12</f>
        <v>377367.85714285716</v>
      </c>
    </row>
    <row r="61" spans="2:16" hidden="1">
      <c r="B61" s="111" t="s">
        <v>186</v>
      </c>
      <c r="C61" s="110">
        <f>+L48+L49+L50+L51+L55</f>
        <v>377367.85714285716</v>
      </c>
      <c r="D61" s="38"/>
      <c r="E61" s="106"/>
      <c r="F61" s="107"/>
      <c r="G61" s="38"/>
      <c r="H61" s="38"/>
      <c r="I61" s="38"/>
      <c r="M61" s="32"/>
      <c r="N61" s="112">
        <f>SUM(N59:N60)</f>
        <v>46980</v>
      </c>
      <c r="O61" s="112">
        <f>SUM(O59:O60)</f>
        <v>377367.85714285716</v>
      </c>
    </row>
    <row r="62" spans="2:16" hidden="1">
      <c r="B62" s="111" t="s">
        <v>187</v>
      </c>
      <c r="C62" s="113">
        <f>SUM(C60:C61)</f>
        <v>424347.85714285716</v>
      </c>
      <c r="D62" s="38"/>
      <c r="E62" s="106"/>
      <c r="F62" s="107"/>
      <c r="G62" s="38"/>
      <c r="H62" s="38"/>
      <c r="I62" s="38"/>
      <c r="N62" s="114"/>
      <c r="O62" s="32"/>
    </row>
    <row r="63" spans="2:16" hidden="1">
      <c r="C63" s="105"/>
      <c r="D63" s="38"/>
      <c r="E63" s="106"/>
      <c r="F63" s="107"/>
      <c r="G63" s="38"/>
      <c r="H63" s="38"/>
      <c r="I63" s="38"/>
    </row>
    <row r="64" spans="2:16" hidden="1">
      <c r="B64" s="5" t="s">
        <v>188</v>
      </c>
    </row>
    <row r="65" spans="1:6" hidden="1"/>
    <row r="66" spans="1:6" hidden="1">
      <c r="B66" s="33" t="s">
        <v>189</v>
      </c>
    </row>
    <row r="67" spans="1:6" hidden="1">
      <c r="A67" s="4" t="s">
        <v>190</v>
      </c>
      <c r="B67" t="s">
        <v>191</v>
      </c>
      <c r="C67" s="108">
        <v>6000</v>
      </c>
    </row>
    <row r="68" spans="1:6" hidden="1">
      <c r="A68" s="4"/>
      <c r="B68" t="s">
        <v>192</v>
      </c>
      <c r="C68" s="38">
        <v>18000</v>
      </c>
      <c r="D68" s="115" t="s">
        <v>193</v>
      </c>
      <c r="E68" s="38"/>
      <c r="F68" s="38"/>
    </row>
    <row r="69" spans="1:6" hidden="1">
      <c r="A69" s="4" t="s">
        <v>194</v>
      </c>
      <c r="B69" t="s">
        <v>195</v>
      </c>
      <c r="C69" s="38">
        <v>2000</v>
      </c>
      <c r="D69" t="s">
        <v>196</v>
      </c>
    </row>
    <row r="70" spans="1:6" hidden="1">
      <c r="A70" s="4" t="s">
        <v>197</v>
      </c>
      <c r="B70" t="s">
        <v>198</v>
      </c>
      <c r="C70" s="38">
        <v>500</v>
      </c>
    </row>
    <row r="71" spans="1:6" hidden="1">
      <c r="A71" s="4" t="s">
        <v>199</v>
      </c>
      <c r="B71" t="s">
        <v>200</v>
      </c>
      <c r="C71" s="108">
        <f>C68-C69+C70</f>
        <v>16500</v>
      </c>
      <c r="F71" s="116"/>
    </row>
    <row r="72" spans="1:6" hidden="1">
      <c r="B72" s="75" t="s">
        <v>201</v>
      </c>
      <c r="C72" s="117">
        <f>IF(C71/C67&lt;150%,C71/C67,150%)</f>
        <v>1.5</v>
      </c>
    </row>
    <row r="73" spans="1:6" hidden="1">
      <c r="B73" s="75" t="s">
        <v>202</v>
      </c>
      <c r="C73" s="38">
        <f>C31</f>
        <v>1392.8571428571429</v>
      </c>
    </row>
    <row r="74" spans="1:6" hidden="1">
      <c r="B74" t="s">
        <v>203</v>
      </c>
      <c r="C74" s="118">
        <f>IF(C72&gt;=40%,C73*C72,0)</f>
        <v>2089.2857142857142</v>
      </c>
    </row>
    <row r="75" spans="1:6" hidden="1">
      <c r="C75" s="38"/>
    </row>
    <row r="76" spans="1:6" hidden="1">
      <c r="B76" s="33" t="s">
        <v>204</v>
      </c>
    </row>
    <row r="77" spans="1:6" hidden="1">
      <c r="A77" s="4" t="s">
        <v>190</v>
      </c>
      <c r="B77" t="s">
        <v>191</v>
      </c>
      <c r="C77" s="108">
        <f>C67</f>
        <v>6000</v>
      </c>
    </row>
    <row r="78" spans="1:6" hidden="1">
      <c r="A78" s="4"/>
      <c r="B78" t="s">
        <v>192</v>
      </c>
      <c r="C78" s="38">
        <v>7500</v>
      </c>
      <c r="D78" s="115" t="s">
        <v>193</v>
      </c>
    </row>
    <row r="79" spans="1:6" hidden="1">
      <c r="A79" s="4" t="s">
        <v>194</v>
      </c>
      <c r="B79" t="s">
        <v>195</v>
      </c>
      <c r="C79" s="38">
        <v>2000</v>
      </c>
      <c r="D79" t="s">
        <v>196</v>
      </c>
    </row>
    <row r="80" spans="1:6" hidden="1">
      <c r="A80" s="4" t="s">
        <v>197</v>
      </c>
      <c r="B80" t="s">
        <v>198</v>
      </c>
      <c r="C80" s="38">
        <v>500</v>
      </c>
    </row>
    <row r="81" spans="1:4" hidden="1">
      <c r="A81" s="4" t="s">
        <v>199</v>
      </c>
      <c r="B81" t="s">
        <v>200</v>
      </c>
      <c r="C81" s="108">
        <f>C78-C79+C80</f>
        <v>6000</v>
      </c>
    </row>
    <row r="82" spans="1:4" hidden="1">
      <c r="B82" s="75" t="s">
        <v>201</v>
      </c>
      <c r="C82" s="117">
        <f>IF(C81/C77&lt;150%,C81/C77,150%)</f>
        <v>1</v>
      </c>
    </row>
    <row r="83" spans="1:4" hidden="1">
      <c r="B83" s="75" t="s">
        <v>202</v>
      </c>
      <c r="C83" s="38">
        <f>C31</f>
        <v>1392.8571428571429</v>
      </c>
    </row>
    <row r="84" spans="1:4" hidden="1">
      <c r="B84" t="s">
        <v>203</v>
      </c>
      <c r="C84" s="118">
        <f>IF(C82&gt;=40%,C83*C82,0)</f>
        <v>1392.8571428571429</v>
      </c>
    </row>
    <row r="85" spans="1:4" hidden="1"/>
    <row r="86" spans="1:4" hidden="1">
      <c r="B86" s="33" t="s">
        <v>205</v>
      </c>
    </row>
    <row r="87" spans="1:4" hidden="1">
      <c r="A87" s="4" t="s">
        <v>190</v>
      </c>
      <c r="B87" t="s">
        <v>191</v>
      </c>
      <c r="C87" s="108">
        <f>C67</f>
        <v>6000</v>
      </c>
    </row>
    <row r="88" spans="1:4" hidden="1">
      <c r="A88" s="4"/>
      <c r="B88" t="s">
        <v>192</v>
      </c>
      <c r="C88" s="38">
        <v>7000</v>
      </c>
      <c r="D88" s="115" t="s">
        <v>193</v>
      </c>
    </row>
    <row r="89" spans="1:4" hidden="1">
      <c r="A89" s="4" t="s">
        <v>194</v>
      </c>
      <c r="B89" t="s">
        <v>195</v>
      </c>
      <c r="C89" s="38">
        <v>5000</v>
      </c>
      <c r="D89" t="s">
        <v>196</v>
      </c>
    </row>
    <row r="90" spans="1:4" hidden="1">
      <c r="A90" s="4" t="s">
        <v>197</v>
      </c>
      <c r="B90" t="s">
        <v>198</v>
      </c>
      <c r="C90" s="38">
        <v>300</v>
      </c>
    </row>
    <row r="91" spans="1:4" hidden="1">
      <c r="A91" s="4" t="s">
        <v>199</v>
      </c>
      <c r="B91" t="s">
        <v>200</v>
      </c>
      <c r="C91" s="108">
        <f>C88-C89+C90</f>
        <v>2300</v>
      </c>
    </row>
    <row r="92" spans="1:4" hidden="1">
      <c r="B92" s="75" t="s">
        <v>201</v>
      </c>
      <c r="C92" s="117">
        <f>IF(C91/C87&lt;150%,C91/C87,150%)</f>
        <v>0.38333333333333336</v>
      </c>
    </row>
    <row r="93" spans="1:4" hidden="1">
      <c r="B93" s="75" t="s">
        <v>202</v>
      </c>
      <c r="C93" s="38">
        <f>C31</f>
        <v>1392.8571428571429</v>
      </c>
    </row>
    <row r="94" spans="1:4" hidden="1">
      <c r="B94" t="s">
        <v>203</v>
      </c>
      <c r="C94" s="118">
        <f>IF(C92&gt;=40%,C93*C92,0)</f>
        <v>0</v>
      </c>
    </row>
    <row r="95" spans="1:4" hidden="1"/>
    <row r="96" spans="1:4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</sheetData>
  <mergeCells count="1">
    <mergeCell ref="E45:F4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5"/>
  <sheetViews>
    <sheetView showGridLines="0" zoomScale="90" zoomScaleNormal="90" workbookViewId="0"/>
  </sheetViews>
  <sheetFormatPr baseColWidth="10" defaultRowHeight="15"/>
  <cols>
    <col min="1" max="1" width="11.42578125" bestFit="1" customWidth="1"/>
    <col min="2" max="2" width="41.140625" customWidth="1"/>
    <col min="3" max="5" width="13.28515625" bestFit="1" customWidth="1"/>
    <col min="6" max="6" width="12.140625" bestFit="1" customWidth="1"/>
    <col min="7" max="9" width="13.28515625" bestFit="1" customWidth="1"/>
    <col min="10" max="11" width="12.140625" bestFit="1" customWidth="1"/>
    <col min="12" max="12" width="13.28515625" bestFit="1" customWidth="1"/>
    <col min="13" max="13" width="12.140625" bestFit="1" customWidth="1"/>
    <col min="14" max="14" width="13.28515625" bestFit="1" customWidth="1"/>
    <col min="15" max="15" width="14.42578125" bestFit="1" customWidth="1"/>
    <col min="16" max="16" width="13.5703125" hidden="1" customWidth="1"/>
    <col min="17" max="17" width="0" hidden="1" customWidth="1"/>
    <col min="18" max="18" width="13.140625" hidden="1" customWidth="1"/>
    <col min="19" max="44" width="0" hidden="1" customWidth="1"/>
  </cols>
  <sheetData>
    <row r="2" spans="1:18" ht="21">
      <c r="B2" s="169" t="s">
        <v>573</v>
      </c>
    </row>
    <row r="4" spans="1:18" ht="18.75">
      <c r="B4" s="68" t="s">
        <v>107</v>
      </c>
    </row>
    <row r="6" spans="1:18">
      <c r="C6" s="33" t="s">
        <v>5</v>
      </c>
      <c r="D6" s="33" t="s">
        <v>6</v>
      </c>
      <c r="E6" s="33" t="s">
        <v>7</v>
      </c>
      <c r="F6" s="33" t="s">
        <v>8</v>
      </c>
      <c r="G6" s="33" t="s">
        <v>9</v>
      </c>
      <c r="H6" s="33" t="s">
        <v>10</v>
      </c>
      <c r="I6" s="33" t="s">
        <v>11</v>
      </c>
      <c r="J6" s="33" t="s">
        <v>12</v>
      </c>
      <c r="K6" s="33" t="s">
        <v>13</v>
      </c>
      <c r="L6" s="33" t="s">
        <v>14</v>
      </c>
      <c r="M6" s="33" t="s">
        <v>15</v>
      </c>
      <c r="N6" s="33" t="s">
        <v>16</v>
      </c>
      <c r="O6" s="33" t="s">
        <v>108</v>
      </c>
    </row>
    <row r="7" spans="1:18" s="5" customFormat="1">
      <c r="A7" s="69" t="s">
        <v>109</v>
      </c>
      <c r="B7" s="70" t="s">
        <v>110</v>
      </c>
      <c r="C7" s="71">
        <f>C10+C11+C12+C15+C18+C21</f>
        <v>13936.772000000001</v>
      </c>
      <c r="D7" s="71">
        <f t="shared" ref="D7:N7" si="0">D10+D11+D12+D15+D18+D21</f>
        <v>10776.772000000001</v>
      </c>
      <c r="E7" s="71">
        <f t="shared" si="0"/>
        <v>7776.7719999999999</v>
      </c>
      <c r="F7" s="71">
        <f t="shared" si="0"/>
        <v>4776.7719999999999</v>
      </c>
      <c r="G7" s="71">
        <f t="shared" si="0"/>
        <v>9136.7720000000008</v>
      </c>
      <c r="H7" s="71">
        <f t="shared" si="0"/>
        <v>8256.7720000000008</v>
      </c>
      <c r="I7" s="71">
        <f t="shared" si="0"/>
        <v>10776.772000000001</v>
      </c>
      <c r="J7" s="71">
        <f t="shared" si="0"/>
        <v>4776.7719999999999</v>
      </c>
      <c r="K7" s="71">
        <f t="shared" si="0"/>
        <v>4776.7719999999999</v>
      </c>
      <c r="L7" s="71">
        <f t="shared" si="0"/>
        <v>6136.7719999999999</v>
      </c>
      <c r="M7" s="71">
        <f t="shared" si="0"/>
        <v>7776.7719999999999</v>
      </c>
      <c r="N7" s="71">
        <f t="shared" si="0"/>
        <v>14256.772000000001</v>
      </c>
      <c r="O7" s="71">
        <f>SUM(C7:N7)</f>
        <v>103161.26399999998</v>
      </c>
    </row>
    <row r="8" spans="1:18">
      <c r="B8" t="s">
        <v>111</v>
      </c>
      <c r="C8">
        <v>3</v>
      </c>
      <c r="D8">
        <v>3</v>
      </c>
      <c r="E8">
        <v>2</v>
      </c>
      <c r="F8">
        <v>1</v>
      </c>
      <c r="G8">
        <v>2</v>
      </c>
      <c r="H8">
        <v>2</v>
      </c>
      <c r="I8">
        <v>3</v>
      </c>
      <c r="J8">
        <v>1</v>
      </c>
      <c r="K8">
        <v>1</v>
      </c>
      <c r="L8">
        <f t="shared" ref="L8" si="1">K8</f>
        <v>1</v>
      </c>
      <c r="M8">
        <v>2</v>
      </c>
      <c r="N8">
        <v>4</v>
      </c>
      <c r="O8">
        <f>SUM(C8:N8)</f>
        <v>25</v>
      </c>
    </row>
    <row r="9" spans="1:18">
      <c r="A9" s="78">
        <v>750</v>
      </c>
      <c r="B9" t="s">
        <v>112</v>
      </c>
      <c r="C9" s="38">
        <f>($A$9)*(C8*'[1]Plan de compensación'!$C$52)</f>
        <v>9000</v>
      </c>
      <c r="D9" s="38">
        <f>($A$9)*(D8*'[1]Plan de compensación'!$C$52)</f>
        <v>9000</v>
      </c>
      <c r="E9" s="38">
        <f>($A$9)*(E8*'[1]Plan de compensación'!$C$52)</f>
        <v>6000</v>
      </c>
      <c r="F9" s="38">
        <f>($A$9)*(F8*'[1]Plan de compensación'!$C$52)</f>
        <v>3000</v>
      </c>
      <c r="G9" s="38">
        <f>($A$9)*(G8*'[1]Plan de compensación'!$C$52)</f>
        <v>6000</v>
      </c>
      <c r="H9" s="38">
        <f>($A$9)*(H8*'[1]Plan de compensación'!$C$52)</f>
        <v>6000</v>
      </c>
      <c r="I9" s="38">
        <f>($A$9)*(I8*'[1]Plan de compensación'!$C$52)</f>
        <v>9000</v>
      </c>
      <c r="J9" s="38">
        <f>($A$9)*(J8*'[1]Plan de compensación'!$C$52)</f>
        <v>3000</v>
      </c>
      <c r="K9" s="38">
        <f>($A$9)*(K8*'[1]Plan de compensación'!$C$52)</f>
        <v>3000</v>
      </c>
      <c r="L9" s="38">
        <f>($A$9)*(L8*'[1]Plan de compensación'!$C$52)</f>
        <v>3000</v>
      </c>
      <c r="M9" s="38">
        <f>($A$9)*(M8*'[1]Plan de compensación'!$C$52)</f>
        <v>6000</v>
      </c>
      <c r="N9" s="38">
        <f>($A$9)*(N8*'[1]Plan de compensación'!$C$52)</f>
        <v>12000</v>
      </c>
      <c r="O9" s="38">
        <f t="shared" ref="O9:O12" si="2">SUM(C9:N9)</f>
        <v>75000</v>
      </c>
    </row>
    <row r="10" spans="1:18">
      <c r="A10" s="78"/>
      <c r="B10" t="s">
        <v>113</v>
      </c>
      <c r="C10" s="72">
        <f>+C9</f>
        <v>9000</v>
      </c>
      <c r="D10" s="72">
        <f t="shared" ref="D10:N10" si="3">+D9</f>
        <v>9000</v>
      </c>
      <c r="E10" s="72">
        <f t="shared" si="3"/>
        <v>6000</v>
      </c>
      <c r="F10" s="72">
        <f t="shared" si="3"/>
        <v>3000</v>
      </c>
      <c r="G10" s="72">
        <f t="shared" si="3"/>
        <v>6000</v>
      </c>
      <c r="H10" s="72">
        <f t="shared" si="3"/>
        <v>6000</v>
      </c>
      <c r="I10" s="72">
        <f t="shared" si="3"/>
        <v>9000</v>
      </c>
      <c r="J10" s="72">
        <f t="shared" si="3"/>
        <v>3000</v>
      </c>
      <c r="K10" s="72">
        <f t="shared" si="3"/>
        <v>3000</v>
      </c>
      <c r="L10" s="72">
        <f t="shared" si="3"/>
        <v>3000</v>
      </c>
      <c r="M10" s="72">
        <f t="shared" si="3"/>
        <v>6000</v>
      </c>
      <c r="N10" s="72">
        <f t="shared" si="3"/>
        <v>12000</v>
      </c>
      <c r="O10" s="72">
        <f t="shared" si="2"/>
        <v>75000</v>
      </c>
      <c r="R10" s="32"/>
    </row>
    <row r="11" spans="1:18">
      <c r="A11" s="78">
        <f>120*2</f>
        <v>240</v>
      </c>
      <c r="B11" t="s">
        <v>114</v>
      </c>
      <c r="C11" s="72">
        <f>$A$11*'[1]Plan de compensación'!$C$52</f>
        <v>960</v>
      </c>
      <c r="D11" s="72">
        <v>0</v>
      </c>
      <c r="E11" s="72">
        <v>0</v>
      </c>
      <c r="F11" s="72">
        <v>0</v>
      </c>
      <c r="G11" s="72">
        <f>$A$11*'[1]Plan de compensación'!$C$52</f>
        <v>960</v>
      </c>
      <c r="H11" s="72">
        <v>0</v>
      </c>
      <c r="I11" s="72">
        <v>0</v>
      </c>
      <c r="J11" s="72">
        <v>0</v>
      </c>
      <c r="K11" s="72">
        <v>0</v>
      </c>
      <c r="L11" s="72">
        <f>$A$11*'[1]Plan de compensación'!$C$52</f>
        <v>960</v>
      </c>
      <c r="M11" s="72">
        <v>0</v>
      </c>
      <c r="N11" s="72">
        <v>0</v>
      </c>
      <c r="O11" s="72">
        <f t="shared" si="2"/>
        <v>2880</v>
      </c>
    </row>
    <row r="12" spans="1:18">
      <c r="A12" s="78">
        <v>100</v>
      </c>
      <c r="B12" t="s">
        <v>115</v>
      </c>
      <c r="C12" s="72">
        <f>$A$12*'[1]Plan de compensación'!$C$52</f>
        <v>400</v>
      </c>
      <c r="D12" s="72">
        <v>0</v>
      </c>
      <c r="E12" s="72">
        <v>0</v>
      </c>
      <c r="F12" s="72">
        <v>0</v>
      </c>
      <c r="G12" s="72">
        <f>$A$12*'[1]Plan de compensación'!$C$52</f>
        <v>400</v>
      </c>
      <c r="H12" s="72">
        <v>0</v>
      </c>
      <c r="I12" s="72">
        <v>0</v>
      </c>
      <c r="J12" s="72">
        <v>0</v>
      </c>
      <c r="K12" s="72">
        <v>0</v>
      </c>
      <c r="L12" s="72">
        <f>$A$12*'[1]Plan de compensación'!$C$52</f>
        <v>400</v>
      </c>
      <c r="M12" s="72">
        <v>0</v>
      </c>
      <c r="N12" s="72">
        <v>0</v>
      </c>
      <c r="O12" s="72">
        <f t="shared" si="2"/>
        <v>1200</v>
      </c>
    </row>
    <row r="13" spans="1:18" s="26" customFormat="1">
      <c r="A13" s="79">
        <f>'[1]Plan de compensación'!C52</f>
        <v>4</v>
      </c>
      <c r="B13" t="s">
        <v>116</v>
      </c>
      <c r="C13">
        <f>'[1]Plan de compensación'!C52</f>
        <v>4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/>
    </row>
    <row r="14" spans="1:18" s="26" customFormat="1">
      <c r="A14" s="78">
        <v>450</v>
      </c>
      <c r="B14" t="s">
        <v>117</v>
      </c>
      <c r="C14" s="73">
        <f>$A$14</f>
        <v>450</v>
      </c>
      <c r="D14" s="73">
        <f>C14</f>
        <v>450</v>
      </c>
      <c r="E14" s="73">
        <f t="shared" ref="E14:N14" si="4">D14</f>
        <v>450</v>
      </c>
      <c r="F14" s="73">
        <f t="shared" si="4"/>
        <v>450</v>
      </c>
      <c r="G14" s="73">
        <f t="shared" si="4"/>
        <v>450</v>
      </c>
      <c r="H14" s="73">
        <f t="shared" si="4"/>
        <v>450</v>
      </c>
      <c r="I14" s="73">
        <f t="shared" si="4"/>
        <v>450</v>
      </c>
      <c r="J14" s="73">
        <f t="shared" si="4"/>
        <v>450</v>
      </c>
      <c r="K14" s="73">
        <f t="shared" si="4"/>
        <v>450</v>
      </c>
      <c r="L14" s="73">
        <f t="shared" si="4"/>
        <v>450</v>
      </c>
      <c r="M14" s="73">
        <f t="shared" si="4"/>
        <v>450</v>
      </c>
      <c r="N14" s="73">
        <f t="shared" si="4"/>
        <v>450</v>
      </c>
      <c r="O14" s="38"/>
    </row>
    <row r="15" spans="1:18">
      <c r="A15" s="78"/>
      <c r="B15" t="s">
        <v>118</v>
      </c>
      <c r="C15" s="72">
        <f>C13*C14</f>
        <v>1800</v>
      </c>
      <c r="D15" s="72">
        <f t="shared" ref="D15:N15" si="5">D13*D14</f>
        <v>0</v>
      </c>
      <c r="E15" s="72">
        <f t="shared" si="5"/>
        <v>0</v>
      </c>
      <c r="F15" s="72">
        <f t="shared" si="5"/>
        <v>0</v>
      </c>
      <c r="G15" s="72">
        <f t="shared" si="5"/>
        <v>0</v>
      </c>
      <c r="H15" s="72">
        <f t="shared" si="5"/>
        <v>0</v>
      </c>
      <c r="I15" s="72">
        <f t="shared" si="5"/>
        <v>0</v>
      </c>
      <c r="J15" s="72">
        <f t="shared" si="5"/>
        <v>0</v>
      </c>
      <c r="K15" s="72">
        <f t="shared" si="5"/>
        <v>0</v>
      </c>
      <c r="L15" s="72">
        <f t="shared" si="5"/>
        <v>0</v>
      </c>
      <c r="M15" s="72">
        <f t="shared" si="5"/>
        <v>0</v>
      </c>
      <c r="N15" s="72">
        <f t="shared" si="5"/>
        <v>0</v>
      </c>
      <c r="O15" s="72">
        <f t="shared" ref="O15" si="6">SUM(C15:N15)</f>
        <v>1800</v>
      </c>
    </row>
    <row r="16" spans="1:18" s="26" customFormat="1">
      <c r="A16" s="79"/>
      <c r="B16" t="s">
        <v>119</v>
      </c>
      <c r="C16">
        <v>120</v>
      </c>
      <c r="D16">
        <f>C16</f>
        <v>120</v>
      </c>
      <c r="E16">
        <f t="shared" ref="E16:N17" si="7">D16</f>
        <v>120</v>
      </c>
      <c r="F16">
        <f t="shared" si="7"/>
        <v>120</v>
      </c>
      <c r="G16">
        <f t="shared" si="7"/>
        <v>120</v>
      </c>
      <c r="H16">
        <f t="shared" si="7"/>
        <v>120</v>
      </c>
      <c r="I16">
        <f t="shared" si="7"/>
        <v>120</v>
      </c>
      <c r="J16">
        <f t="shared" si="7"/>
        <v>120</v>
      </c>
      <c r="K16">
        <f t="shared" si="7"/>
        <v>120</v>
      </c>
      <c r="L16">
        <f t="shared" si="7"/>
        <v>120</v>
      </c>
      <c r="M16">
        <f t="shared" si="7"/>
        <v>120</v>
      </c>
      <c r="N16">
        <f t="shared" si="7"/>
        <v>120</v>
      </c>
      <c r="O16"/>
    </row>
    <row r="17" spans="1:16" s="26" customFormat="1">
      <c r="A17" s="81">
        <f>('[1]Costo de Comprar'!F20+'[1]Costo de Comprar'!F41)/2</f>
        <v>14.806433333333334</v>
      </c>
      <c r="B17" t="s">
        <v>120</v>
      </c>
      <c r="C17" s="73">
        <f>$A$17</f>
        <v>14.806433333333334</v>
      </c>
      <c r="D17" s="73">
        <f>C17</f>
        <v>14.806433333333334</v>
      </c>
      <c r="E17" s="73">
        <f t="shared" si="7"/>
        <v>14.806433333333334</v>
      </c>
      <c r="F17" s="73">
        <f t="shared" si="7"/>
        <v>14.806433333333334</v>
      </c>
      <c r="G17" s="73">
        <f t="shared" si="7"/>
        <v>14.806433333333334</v>
      </c>
      <c r="H17" s="73">
        <f t="shared" si="7"/>
        <v>14.806433333333334</v>
      </c>
      <c r="I17" s="73">
        <f t="shared" si="7"/>
        <v>14.806433333333334</v>
      </c>
      <c r="J17" s="73">
        <f t="shared" si="7"/>
        <v>14.806433333333334</v>
      </c>
      <c r="K17" s="73">
        <f t="shared" si="7"/>
        <v>14.806433333333334</v>
      </c>
      <c r="L17" s="73">
        <f t="shared" si="7"/>
        <v>14.806433333333334</v>
      </c>
      <c r="M17" s="73">
        <f t="shared" si="7"/>
        <v>14.806433333333334</v>
      </c>
      <c r="N17" s="73">
        <f t="shared" si="7"/>
        <v>14.806433333333334</v>
      </c>
      <c r="O17" s="38"/>
      <c r="P17" s="73" t="s">
        <v>121</v>
      </c>
    </row>
    <row r="18" spans="1:16">
      <c r="A18" s="78"/>
      <c r="B18" t="s">
        <v>122</v>
      </c>
      <c r="C18" s="72">
        <f>C16*C17</f>
        <v>1776.7720000000002</v>
      </c>
      <c r="D18" s="72">
        <f t="shared" ref="D18:N18" si="8">D16*D17</f>
        <v>1776.7720000000002</v>
      </c>
      <c r="E18" s="72">
        <f t="shared" si="8"/>
        <v>1776.7720000000002</v>
      </c>
      <c r="F18" s="72">
        <f t="shared" si="8"/>
        <v>1776.7720000000002</v>
      </c>
      <c r="G18" s="72">
        <f t="shared" si="8"/>
        <v>1776.7720000000002</v>
      </c>
      <c r="H18" s="72">
        <f t="shared" si="8"/>
        <v>1776.7720000000002</v>
      </c>
      <c r="I18" s="72">
        <f t="shared" si="8"/>
        <v>1776.7720000000002</v>
      </c>
      <c r="J18" s="72">
        <f t="shared" si="8"/>
        <v>1776.7720000000002</v>
      </c>
      <c r="K18" s="72">
        <f t="shared" si="8"/>
        <v>1776.7720000000002</v>
      </c>
      <c r="L18" s="72">
        <f t="shared" si="8"/>
        <v>1776.7720000000002</v>
      </c>
      <c r="M18" s="72">
        <f t="shared" si="8"/>
        <v>1776.7720000000002</v>
      </c>
      <c r="N18" s="72">
        <f t="shared" si="8"/>
        <v>1776.7720000000002</v>
      </c>
      <c r="O18" s="72">
        <f t="shared" ref="O18" si="9">SUM(C18:N18)</f>
        <v>21321.264000000006</v>
      </c>
    </row>
    <row r="19" spans="1:16" s="26" customFormat="1">
      <c r="A19" s="79">
        <f>A13</f>
        <v>4</v>
      </c>
      <c r="B19" t="s">
        <v>123</v>
      </c>
      <c r="C19">
        <v>0</v>
      </c>
      <c r="D19">
        <v>0</v>
      </c>
      <c r="E19">
        <v>0</v>
      </c>
      <c r="F19">
        <v>0</v>
      </c>
      <c r="G19">
        <v>0</v>
      </c>
      <c r="H19">
        <f>C13</f>
        <v>4</v>
      </c>
      <c r="I19">
        <v>0</v>
      </c>
      <c r="J19">
        <v>0</v>
      </c>
      <c r="K19">
        <v>0</v>
      </c>
      <c r="L19">
        <v>0</v>
      </c>
      <c r="M19">
        <v>0</v>
      </c>
      <c r="N19">
        <f>C13</f>
        <v>4</v>
      </c>
      <c r="O19"/>
    </row>
    <row r="20" spans="1:16" s="26" customFormat="1">
      <c r="A20" s="78">
        <v>120</v>
      </c>
      <c r="B20" t="s">
        <v>124</v>
      </c>
      <c r="C20" s="73">
        <v>0</v>
      </c>
      <c r="D20" s="73">
        <v>0</v>
      </c>
      <c r="E20" s="73">
        <v>0</v>
      </c>
      <c r="F20" s="73">
        <v>0</v>
      </c>
      <c r="G20" s="73">
        <v>0</v>
      </c>
      <c r="H20" s="73">
        <f t="shared" ref="H20:N20" si="10">$A$20</f>
        <v>120</v>
      </c>
      <c r="I20" s="73">
        <v>0</v>
      </c>
      <c r="J20" s="73">
        <v>0</v>
      </c>
      <c r="K20" s="73">
        <v>0</v>
      </c>
      <c r="L20" s="73">
        <v>0</v>
      </c>
      <c r="M20" s="73">
        <v>0</v>
      </c>
      <c r="N20" s="73">
        <f t="shared" si="10"/>
        <v>120</v>
      </c>
      <c r="O20" s="38"/>
      <c r="P20" s="73" t="s">
        <v>121</v>
      </c>
    </row>
    <row r="21" spans="1:16">
      <c r="A21" s="38"/>
      <c r="B21" t="s">
        <v>125</v>
      </c>
      <c r="C21" s="72">
        <f>C19*C20</f>
        <v>0</v>
      </c>
      <c r="D21" s="72">
        <f t="shared" ref="D21:N21" si="11">D19*D20</f>
        <v>0</v>
      </c>
      <c r="E21" s="72">
        <f t="shared" si="11"/>
        <v>0</v>
      </c>
      <c r="F21" s="72">
        <f t="shared" si="11"/>
        <v>0</v>
      </c>
      <c r="G21" s="72">
        <f t="shared" si="11"/>
        <v>0</v>
      </c>
      <c r="H21" s="72">
        <f t="shared" si="11"/>
        <v>480</v>
      </c>
      <c r="I21" s="72">
        <f t="shared" si="11"/>
        <v>0</v>
      </c>
      <c r="J21" s="72">
        <f t="shared" si="11"/>
        <v>0</v>
      </c>
      <c r="K21" s="72">
        <f t="shared" si="11"/>
        <v>0</v>
      </c>
      <c r="L21" s="72">
        <f t="shared" si="11"/>
        <v>0</v>
      </c>
      <c r="M21" s="72">
        <f t="shared" si="11"/>
        <v>0</v>
      </c>
      <c r="N21" s="72">
        <f t="shared" si="11"/>
        <v>480</v>
      </c>
      <c r="O21" s="72">
        <f t="shared" ref="O21" si="12">SUM(C21:N21)</f>
        <v>960</v>
      </c>
    </row>
    <row r="23" spans="1:16">
      <c r="C23" s="33" t="s">
        <v>5</v>
      </c>
      <c r="D23" s="33" t="s">
        <v>6</v>
      </c>
      <c r="E23" s="33" t="s">
        <v>7</v>
      </c>
      <c r="F23" s="33" t="s">
        <v>8</v>
      </c>
      <c r="G23" s="33" t="s">
        <v>9</v>
      </c>
      <c r="H23" s="33" t="s">
        <v>10</v>
      </c>
      <c r="I23" s="33" t="s">
        <v>11</v>
      </c>
      <c r="J23" s="33" t="s">
        <v>12</v>
      </c>
      <c r="K23" s="33" t="s">
        <v>13</v>
      </c>
      <c r="L23" s="33" t="s">
        <v>14</v>
      </c>
      <c r="M23" s="33" t="s">
        <v>15</v>
      </c>
      <c r="N23" s="33" t="s">
        <v>16</v>
      </c>
      <c r="O23" s="33" t="s">
        <v>108</v>
      </c>
    </row>
    <row r="24" spans="1:16" s="5" customFormat="1">
      <c r="A24" s="69" t="s">
        <v>126</v>
      </c>
      <c r="B24" s="70" t="s">
        <v>127</v>
      </c>
      <c r="C24" s="71">
        <f t="shared" ref="C24:O24" si="13">SUM(C26:C32)</f>
        <v>0</v>
      </c>
      <c r="D24" s="71">
        <f t="shared" si="13"/>
        <v>10818.45</v>
      </c>
      <c r="E24" s="71">
        <f t="shared" si="13"/>
        <v>0</v>
      </c>
      <c r="F24" s="71">
        <f t="shared" si="13"/>
        <v>0</v>
      </c>
      <c r="G24" s="71">
        <f t="shared" si="13"/>
        <v>0</v>
      </c>
      <c r="H24" s="71">
        <f t="shared" si="13"/>
        <v>10735.55</v>
      </c>
      <c r="I24" s="71">
        <f t="shared" si="13"/>
        <v>0</v>
      </c>
      <c r="J24" s="71">
        <f t="shared" si="13"/>
        <v>0</v>
      </c>
      <c r="K24" s="71">
        <f t="shared" si="13"/>
        <v>0</v>
      </c>
      <c r="L24" s="71">
        <f t="shared" si="13"/>
        <v>0</v>
      </c>
      <c r="M24" s="71">
        <f t="shared" si="13"/>
        <v>0</v>
      </c>
      <c r="N24" s="71">
        <f t="shared" si="13"/>
        <v>0</v>
      </c>
      <c r="O24" s="71">
        <f t="shared" si="13"/>
        <v>21554</v>
      </c>
    </row>
    <row r="25" spans="1:16">
      <c r="B25" t="s">
        <v>128</v>
      </c>
      <c r="C25">
        <v>0</v>
      </c>
      <c r="D25">
        <v>1</v>
      </c>
      <c r="E25">
        <v>0</v>
      </c>
      <c r="F25">
        <v>0</v>
      </c>
      <c r="G25">
        <v>0</v>
      </c>
      <c r="H25">
        <v>1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f>SUM(C25:N25)</f>
        <v>2</v>
      </c>
    </row>
    <row r="26" spans="1:16">
      <c r="A26" s="80">
        <v>100</v>
      </c>
      <c r="B26" t="s">
        <v>129</v>
      </c>
      <c r="C26" s="38">
        <f t="shared" ref="C26:N26" si="14">($A$26*C34)*C25</f>
        <v>0</v>
      </c>
      <c r="D26" s="38">
        <f t="shared" si="14"/>
        <v>261</v>
      </c>
      <c r="E26" s="38">
        <f t="shared" si="14"/>
        <v>0</v>
      </c>
      <c r="F26" s="38">
        <f t="shared" si="14"/>
        <v>0</v>
      </c>
      <c r="G26" s="38">
        <f t="shared" si="14"/>
        <v>0</v>
      </c>
      <c r="H26" s="38">
        <f t="shared" si="14"/>
        <v>259</v>
      </c>
      <c r="I26" s="38">
        <f t="shared" si="14"/>
        <v>0</v>
      </c>
      <c r="J26" s="38">
        <f t="shared" si="14"/>
        <v>0</v>
      </c>
      <c r="K26" s="38">
        <f t="shared" si="14"/>
        <v>0</v>
      </c>
      <c r="L26" s="38">
        <f t="shared" si="14"/>
        <v>0</v>
      </c>
      <c r="M26" s="38">
        <f t="shared" si="14"/>
        <v>0</v>
      </c>
      <c r="N26" s="38">
        <f t="shared" si="14"/>
        <v>0</v>
      </c>
      <c r="O26" s="38">
        <f t="shared" ref="O26" si="15">SUM(C26:N26)</f>
        <v>520</v>
      </c>
    </row>
    <row r="27" spans="1:16">
      <c r="A27" s="80">
        <v>2800</v>
      </c>
      <c r="B27" t="s">
        <v>130</v>
      </c>
      <c r="C27" s="38">
        <f t="shared" ref="C27:N27" si="16">($A$27*C34)*C25</f>
        <v>0</v>
      </c>
      <c r="D27" s="38">
        <f t="shared" si="16"/>
        <v>7308</v>
      </c>
      <c r="E27" s="38">
        <f t="shared" si="16"/>
        <v>0</v>
      </c>
      <c r="F27" s="38">
        <f t="shared" si="16"/>
        <v>0</v>
      </c>
      <c r="G27" s="38">
        <f t="shared" si="16"/>
        <v>0</v>
      </c>
      <c r="H27" s="38">
        <f t="shared" si="16"/>
        <v>7252</v>
      </c>
      <c r="I27" s="38">
        <f t="shared" si="16"/>
        <v>0</v>
      </c>
      <c r="J27" s="38">
        <f t="shared" si="16"/>
        <v>0</v>
      </c>
      <c r="K27" s="38">
        <f t="shared" si="16"/>
        <v>0</v>
      </c>
      <c r="L27" s="38">
        <f t="shared" si="16"/>
        <v>0</v>
      </c>
      <c r="M27" s="38">
        <f t="shared" si="16"/>
        <v>0</v>
      </c>
      <c r="N27" s="38">
        <f t="shared" si="16"/>
        <v>0</v>
      </c>
      <c r="O27" s="38">
        <f t="shared" ref="O27:O32" si="17">SUM(C27:N27)</f>
        <v>14560</v>
      </c>
    </row>
    <row r="28" spans="1:16">
      <c r="A28" s="80">
        <v>900</v>
      </c>
      <c r="B28" t="s">
        <v>131</v>
      </c>
      <c r="C28" s="38">
        <f t="shared" ref="C28:N28" si="18">($A$28*C34)*C25</f>
        <v>0</v>
      </c>
      <c r="D28" s="38">
        <f t="shared" si="18"/>
        <v>2349</v>
      </c>
      <c r="E28" s="38">
        <f t="shared" si="18"/>
        <v>0</v>
      </c>
      <c r="F28" s="38">
        <f t="shared" si="18"/>
        <v>0</v>
      </c>
      <c r="G28" s="38">
        <f t="shared" si="18"/>
        <v>0</v>
      </c>
      <c r="H28" s="38">
        <f t="shared" si="18"/>
        <v>2331</v>
      </c>
      <c r="I28" s="38">
        <f t="shared" si="18"/>
        <v>0</v>
      </c>
      <c r="J28" s="38">
        <f t="shared" si="18"/>
        <v>0</v>
      </c>
      <c r="K28" s="38">
        <f t="shared" si="18"/>
        <v>0</v>
      </c>
      <c r="L28" s="38">
        <f t="shared" si="18"/>
        <v>0</v>
      </c>
      <c r="M28" s="38">
        <f t="shared" si="18"/>
        <v>0</v>
      </c>
      <c r="N28" s="38">
        <f t="shared" si="18"/>
        <v>0</v>
      </c>
      <c r="O28" s="38">
        <f t="shared" si="17"/>
        <v>4680</v>
      </c>
    </row>
    <row r="29" spans="1:16">
      <c r="A29" s="80">
        <f>15*3</f>
        <v>45</v>
      </c>
      <c r="B29" t="s">
        <v>132</v>
      </c>
      <c r="C29" s="38">
        <f t="shared" ref="C29:N29" si="19">($A$29*C34)*C25</f>
        <v>0</v>
      </c>
      <c r="D29" s="38">
        <f t="shared" si="19"/>
        <v>117.44999999999999</v>
      </c>
      <c r="E29" s="38">
        <f t="shared" si="19"/>
        <v>0</v>
      </c>
      <c r="F29" s="38">
        <f t="shared" si="19"/>
        <v>0</v>
      </c>
      <c r="G29" s="38">
        <f t="shared" si="19"/>
        <v>0</v>
      </c>
      <c r="H29" s="38">
        <f t="shared" si="19"/>
        <v>116.55</v>
      </c>
      <c r="I29" s="38">
        <f t="shared" si="19"/>
        <v>0</v>
      </c>
      <c r="J29" s="38">
        <f t="shared" si="19"/>
        <v>0</v>
      </c>
      <c r="K29" s="38">
        <f t="shared" si="19"/>
        <v>0</v>
      </c>
      <c r="L29" s="38">
        <f t="shared" si="19"/>
        <v>0</v>
      </c>
      <c r="M29" s="38">
        <f t="shared" si="19"/>
        <v>0</v>
      </c>
      <c r="N29" s="38">
        <f t="shared" si="19"/>
        <v>0</v>
      </c>
      <c r="O29" s="38">
        <f t="shared" si="17"/>
        <v>234</v>
      </c>
    </row>
    <row r="30" spans="1:16">
      <c r="A30" s="80">
        <f>20*3</f>
        <v>60</v>
      </c>
      <c r="B30" t="s">
        <v>133</v>
      </c>
      <c r="C30" s="38">
        <f t="shared" ref="C30:N30" si="20">($A$30*C34)*C25</f>
        <v>0</v>
      </c>
      <c r="D30" s="38">
        <f t="shared" si="20"/>
        <v>156.6</v>
      </c>
      <c r="E30" s="38">
        <f t="shared" si="20"/>
        <v>0</v>
      </c>
      <c r="F30" s="38">
        <f t="shared" si="20"/>
        <v>0</v>
      </c>
      <c r="G30" s="38">
        <f t="shared" si="20"/>
        <v>0</v>
      </c>
      <c r="H30" s="38">
        <f t="shared" si="20"/>
        <v>155.39999999999998</v>
      </c>
      <c r="I30" s="38">
        <f t="shared" si="20"/>
        <v>0</v>
      </c>
      <c r="J30" s="38">
        <f t="shared" si="20"/>
        <v>0</v>
      </c>
      <c r="K30" s="38">
        <f t="shared" si="20"/>
        <v>0</v>
      </c>
      <c r="L30" s="38">
        <f t="shared" si="20"/>
        <v>0</v>
      </c>
      <c r="M30" s="38">
        <f t="shared" si="20"/>
        <v>0</v>
      </c>
      <c r="N30" s="38">
        <f t="shared" si="20"/>
        <v>0</v>
      </c>
      <c r="O30" s="38">
        <f t="shared" si="17"/>
        <v>312</v>
      </c>
    </row>
    <row r="31" spans="1:16">
      <c r="A31" s="80">
        <f>60*3</f>
        <v>180</v>
      </c>
      <c r="B31" t="s">
        <v>134</v>
      </c>
      <c r="C31" s="38">
        <f t="shared" ref="C31:N31" si="21">($A$31*C34)*C25</f>
        <v>0</v>
      </c>
      <c r="D31" s="38">
        <f t="shared" si="21"/>
        <v>469.79999999999995</v>
      </c>
      <c r="E31" s="38">
        <f t="shared" si="21"/>
        <v>0</v>
      </c>
      <c r="F31" s="38">
        <f t="shared" si="21"/>
        <v>0</v>
      </c>
      <c r="G31" s="38">
        <f t="shared" si="21"/>
        <v>0</v>
      </c>
      <c r="H31" s="38">
        <f t="shared" si="21"/>
        <v>466.2</v>
      </c>
      <c r="I31" s="38">
        <f t="shared" si="21"/>
        <v>0</v>
      </c>
      <c r="J31" s="38">
        <f t="shared" si="21"/>
        <v>0</v>
      </c>
      <c r="K31" s="38">
        <f t="shared" si="21"/>
        <v>0</v>
      </c>
      <c r="L31" s="38">
        <f t="shared" si="21"/>
        <v>0</v>
      </c>
      <c r="M31" s="38">
        <f t="shared" si="21"/>
        <v>0</v>
      </c>
      <c r="N31" s="38">
        <f t="shared" si="21"/>
        <v>0</v>
      </c>
      <c r="O31" s="38">
        <f t="shared" si="17"/>
        <v>936</v>
      </c>
    </row>
    <row r="32" spans="1:16">
      <c r="A32" s="80">
        <f>20*3</f>
        <v>60</v>
      </c>
      <c r="B32" t="s">
        <v>135</v>
      </c>
      <c r="C32" s="38">
        <f t="shared" ref="C32:N32" si="22">($A$32*C34)*C25</f>
        <v>0</v>
      </c>
      <c r="D32" s="38">
        <f t="shared" si="22"/>
        <v>156.6</v>
      </c>
      <c r="E32" s="38">
        <f t="shared" si="22"/>
        <v>0</v>
      </c>
      <c r="F32" s="38">
        <f t="shared" si="22"/>
        <v>0</v>
      </c>
      <c r="G32" s="38">
        <f t="shared" si="22"/>
        <v>0</v>
      </c>
      <c r="H32" s="38">
        <f t="shared" si="22"/>
        <v>155.39999999999998</v>
      </c>
      <c r="I32" s="38">
        <f t="shared" si="22"/>
        <v>0</v>
      </c>
      <c r="J32" s="38">
        <f t="shared" si="22"/>
        <v>0</v>
      </c>
      <c r="K32" s="38">
        <f t="shared" si="22"/>
        <v>0</v>
      </c>
      <c r="L32" s="38">
        <f t="shared" si="22"/>
        <v>0</v>
      </c>
      <c r="M32" s="38">
        <f t="shared" si="22"/>
        <v>0</v>
      </c>
      <c r="N32" s="38">
        <f t="shared" si="22"/>
        <v>0</v>
      </c>
      <c r="O32" s="38">
        <f t="shared" si="17"/>
        <v>312</v>
      </c>
    </row>
    <row r="34" spans="1:15" s="74" customFormat="1" ht="12.75">
      <c r="B34" s="74" t="s">
        <v>136</v>
      </c>
      <c r="C34" s="74">
        <v>2.61</v>
      </c>
      <c r="D34" s="74">
        <f>C34</f>
        <v>2.61</v>
      </c>
      <c r="E34" s="74">
        <v>2.6</v>
      </c>
      <c r="F34" s="74">
        <f t="shared" ref="F34:N34" si="23">E34</f>
        <v>2.6</v>
      </c>
      <c r="G34" s="74">
        <v>2.59</v>
      </c>
      <c r="H34" s="74">
        <f t="shared" si="23"/>
        <v>2.59</v>
      </c>
      <c r="I34" s="74">
        <v>2.58</v>
      </c>
      <c r="J34" s="74">
        <f t="shared" si="23"/>
        <v>2.58</v>
      </c>
      <c r="K34" s="74">
        <v>2.5499999999999998</v>
      </c>
      <c r="L34" s="74">
        <f t="shared" si="23"/>
        <v>2.5499999999999998</v>
      </c>
      <c r="M34" s="74">
        <v>2.52</v>
      </c>
      <c r="N34" s="74">
        <f t="shared" si="23"/>
        <v>2.52</v>
      </c>
    </row>
    <row r="35" spans="1:15">
      <c r="B35" s="13" t="s">
        <v>137</v>
      </c>
    </row>
    <row r="36" spans="1:15">
      <c r="B36" s="13"/>
    </row>
    <row r="37" spans="1:15">
      <c r="B37" s="75" t="s">
        <v>138</v>
      </c>
    </row>
    <row r="38" spans="1:15">
      <c r="B38" s="5" t="s">
        <v>139</v>
      </c>
    </row>
    <row r="40" spans="1:15" ht="18.75">
      <c r="B40" s="68" t="s">
        <v>140</v>
      </c>
      <c r="E40" s="38"/>
      <c r="F40" s="38"/>
    </row>
    <row r="42" spans="1:15">
      <c r="B42" s="70" t="s">
        <v>141</v>
      </c>
      <c r="C42" s="33" t="s">
        <v>5</v>
      </c>
      <c r="D42" s="33" t="s">
        <v>6</v>
      </c>
      <c r="E42" s="33" t="s">
        <v>7</v>
      </c>
      <c r="F42" s="33" t="s">
        <v>8</v>
      </c>
      <c r="G42" s="33" t="s">
        <v>9</v>
      </c>
      <c r="H42" s="33" t="s">
        <v>10</v>
      </c>
      <c r="I42" s="33" t="s">
        <v>11</v>
      </c>
      <c r="J42" s="33" t="s">
        <v>12</v>
      </c>
      <c r="K42" s="33" t="s">
        <v>13</v>
      </c>
      <c r="L42" s="33" t="s">
        <v>14</v>
      </c>
      <c r="M42" s="33" t="s">
        <v>15</v>
      </c>
      <c r="N42" s="33" t="s">
        <v>16</v>
      </c>
      <c r="O42" s="33" t="s">
        <v>108</v>
      </c>
    </row>
    <row r="43" spans="1:15" s="5" customFormat="1">
      <c r="A43" s="69"/>
      <c r="B43" s="70"/>
      <c r="C43" s="71">
        <f>C44</f>
        <v>2644.0677966101694</v>
      </c>
      <c r="D43" s="71">
        <f t="shared" ref="D43:N43" si="24">D44</f>
        <v>2644.0677966101694</v>
      </c>
      <c r="E43" s="71">
        <f t="shared" si="24"/>
        <v>2644.0677966101694</v>
      </c>
      <c r="F43" s="71">
        <f t="shared" si="24"/>
        <v>2644.0677966101694</v>
      </c>
      <c r="G43" s="71">
        <f t="shared" si="24"/>
        <v>2644.0677966101694</v>
      </c>
      <c r="H43" s="71">
        <f t="shared" si="24"/>
        <v>2644.0677966101694</v>
      </c>
      <c r="I43" s="71">
        <f t="shared" si="24"/>
        <v>2644.0677966101694</v>
      </c>
      <c r="J43" s="71">
        <f t="shared" si="24"/>
        <v>2644.0677966101694</v>
      </c>
      <c r="K43" s="71">
        <f t="shared" si="24"/>
        <v>2644.0677966101694</v>
      </c>
      <c r="L43" s="71">
        <f t="shared" si="24"/>
        <v>2644.0677966101694</v>
      </c>
      <c r="M43" s="71">
        <f t="shared" si="24"/>
        <v>2644.0677966101694</v>
      </c>
      <c r="N43" s="71">
        <f t="shared" si="24"/>
        <v>2644.0677966101694</v>
      </c>
      <c r="O43" s="71">
        <f t="shared" ref="O43" si="25">SUM(C43:N43)</f>
        <v>31728.813559322025</v>
      </c>
    </row>
    <row r="44" spans="1:15" s="23" customFormat="1">
      <c r="A44" s="76"/>
      <c r="B44" s="77" t="s">
        <v>142</v>
      </c>
      <c r="C44" s="72">
        <f>C45*C46*C47*C48</f>
        <v>2644.0677966101694</v>
      </c>
      <c r="D44" s="72">
        <f t="shared" ref="D44:N44" si="26">D45*D46*D47*D48</f>
        <v>2644.0677966101694</v>
      </c>
      <c r="E44" s="72">
        <f t="shared" si="26"/>
        <v>2644.0677966101694</v>
      </c>
      <c r="F44" s="72">
        <f t="shared" si="26"/>
        <v>2644.0677966101694</v>
      </c>
      <c r="G44" s="72">
        <f t="shared" si="26"/>
        <v>2644.0677966101694</v>
      </c>
      <c r="H44" s="72">
        <f t="shared" si="26"/>
        <v>2644.0677966101694</v>
      </c>
      <c r="I44" s="72">
        <f t="shared" si="26"/>
        <v>2644.0677966101694</v>
      </c>
      <c r="J44" s="72">
        <f t="shared" si="26"/>
        <v>2644.0677966101694</v>
      </c>
      <c r="K44" s="72">
        <f t="shared" si="26"/>
        <v>2644.0677966101694</v>
      </c>
      <c r="L44" s="72">
        <f t="shared" si="26"/>
        <v>2644.0677966101694</v>
      </c>
      <c r="M44" s="72">
        <f t="shared" si="26"/>
        <v>2644.0677966101694</v>
      </c>
      <c r="N44" s="72">
        <f t="shared" si="26"/>
        <v>2644.0677966101694</v>
      </c>
      <c r="O44" s="72">
        <f t="shared" ref="O44" si="27">SUM(C44:N44)</f>
        <v>31728.813559322025</v>
      </c>
    </row>
    <row r="45" spans="1:15">
      <c r="A45" s="59">
        <f>A46</f>
        <v>7</v>
      </c>
      <c r="B45" t="s">
        <v>143</v>
      </c>
      <c r="C45">
        <v>5</v>
      </c>
      <c r="D45">
        <v>5</v>
      </c>
      <c r="E45">
        <v>5</v>
      </c>
      <c r="F45">
        <v>5</v>
      </c>
      <c r="G45">
        <v>5</v>
      </c>
      <c r="H45">
        <v>5</v>
      </c>
      <c r="I45">
        <v>5</v>
      </c>
      <c r="J45">
        <v>5</v>
      </c>
      <c r="K45">
        <v>5</v>
      </c>
      <c r="L45">
        <v>5</v>
      </c>
      <c r="M45">
        <v>5</v>
      </c>
      <c r="N45">
        <v>5</v>
      </c>
    </row>
    <row r="46" spans="1:15">
      <c r="A46" s="59">
        <v>7</v>
      </c>
      <c r="B46" t="s">
        <v>144</v>
      </c>
      <c r="C46">
        <v>5</v>
      </c>
      <c r="D46">
        <v>5</v>
      </c>
      <c r="E46">
        <v>5</v>
      </c>
      <c r="F46">
        <v>5</v>
      </c>
      <c r="G46">
        <v>5</v>
      </c>
      <c r="H46">
        <v>5</v>
      </c>
      <c r="I46">
        <v>5</v>
      </c>
      <c r="J46">
        <v>5</v>
      </c>
      <c r="K46">
        <v>5</v>
      </c>
      <c r="L46">
        <v>5</v>
      </c>
      <c r="M46">
        <v>5</v>
      </c>
      <c r="N46">
        <v>5</v>
      </c>
    </row>
    <row r="47" spans="1:15">
      <c r="A47" s="59">
        <v>20</v>
      </c>
      <c r="B47" t="s">
        <v>145</v>
      </c>
      <c r="C47">
        <f>$A$47</f>
        <v>20</v>
      </c>
      <c r="D47">
        <f t="shared" ref="D47:N47" si="28">$A$47</f>
        <v>20</v>
      </c>
      <c r="E47">
        <f t="shared" si="28"/>
        <v>20</v>
      </c>
      <c r="F47">
        <f t="shared" si="28"/>
        <v>20</v>
      </c>
      <c r="G47">
        <f t="shared" si="28"/>
        <v>20</v>
      </c>
      <c r="H47">
        <f t="shared" si="28"/>
        <v>20</v>
      </c>
      <c r="I47">
        <f t="shared" si="28"/>
        <v>20</v>
      </c>
      <c r="J47">
        <f t="shared" si="28"/>
        <v>20</v>
      </c>
      <c r="K47">
        <f t="shared" si="28"/>
        <v>20</v>
      </c>
      <c r="L47">
        <f t="shared" si="28"/>
        <v>20</v>
      </c>
      <c r="M47">
        <f t="shared" si="28"/>
        <v>20</v>
      </c>
      <c r="N47">
        <f t="shared" si="28"/>
        <v>20</v>
      </c>
    </row>
    <row r="48" spans="1:15">
      <c r="A48" s="81">
        <f>6.24/1.18</f>
        <v>5.2881355932203391</v>
      </c>
      <c r="B48" t="s">
        <v>146</v>
      </c>
      <c r="C48" s="38">
        <f>$A$48</f>
        <v>5.2881355932203391</v>
      </c>
      <c r="D48" s="38">
        <f t="shared" ref="D48:N48" si="29">$A$48</f>
        <v>5.2881355932203391</v>
      </c>
      <c r="E48" s="38">
        <f t="shared" si="29"/>
        <v>5.2881355932203391</v>
      </c>
      <c r="F48" s="38">
        <f t="shared" si="29"/>
        <v>5.2881355932203391</v>
      </c>
      <c r="G48" s="38">
        <f t="shared" si="29"/>
        <v>5.2881355932203391</v>
      </c>
      <c r="H48" s="38">
        <f t="shared" si="29"/>
        <v>5.2881355932203391</v>
      </c>
      <c r="I48" s="38">
        <f t="shared" si="29"/>
        <v>5.2881355932203391</v>
      </c>
      <c r="J48" s="38">
        <f t="shared" si="29"/>
        <v>5.2881355932203391</v>
      </c>
      <c r="K48" s="38">
        <f t="shared" si="29"/>
        <v>5.2881355932203391</v>
      </c>
      <c r="L48" s="38">
        <f t="shared" si="29"/>
        <v>5.2881355932203391</v>
      </c>
      <c r="M48" s="38">
        <f t="shared" si="29"/>
        <v>5.2881355932203391</v>
      </c>
      <c r="N48" s="38">
        <f t="shared" si="29"/>
        <v>5.2881355932203391</v>
      </c>
    </row>
    <row r="51" spans="1:15">
      <c r="B51" s="70" t="s">
        <v>147</v>
      </c>
      <c r="C51" s="33" t="s">
        <v>5</v>
      </c>
      <c r="D51" s="33" t="s">
        <v>6</v>
      </c>
      <c r="E51" s="33" t="s">
        <v>7</v>
      </c>
      <c r="F51" s="33" t="s">
        <v>8</v>
      </c>
      <c r="G51" s="33" t="s">
        <v>9</v>
      </c>
      <c r="H51" s="33" t="s">
        <v>10</v>
      </c>
      <c r="I51" s="33" t="s">
        <v>11</v>
      </c>
      <c r="J51" s="33" t="s">
        <v>12</v>
      </c>
      <c r="K51" s="33" t="s">
        <v>13</v>
      </c>
      <c r="L51" s="33" t="s">
        <v>14</v>
      </c>
      <c r="M51" s="33" t="s">
        <v>15</v>
      </c>
      <c r="N51" s="33" t="s">
        <v>16</v>
      </c>
      <c r="O51" s="33" t="s">
        <v>108</v>
      </c>
    </row>
    <row r="52" spans="1:15" s="5" customFormat="1">
      <c r="A52" s="69"/>
      <c r="B52" s="70"/>
      <c r="C52" s="71">
        <f>C53</f>
        <v>8500</v>
      </c>
      <c r="D52" s="71">
        <f t="shared" ref="D52:N52" si="30">D53</f>
        <v>8500</v>
      </c>
      <c r="E52" s="71">
        <f t="shared" si="30"/>
        <v>8500</v>
      </c>
      <c r="F52" s="71">
        <f t="shared" si="30"/>
        <v>0</v>
      </c>
      <c r="G52" s="71">
        <f t="shared" si="30"/>
        <v>0</v>
      </c>
      <c r="H52" s="71">
        <f t="shared" si="30"/>
        <v>0</v>
      </c>
      <c r="I52" s="71">
        <f t="shared" si="30"/>
        <v>0</v>
      </c>
      <c r="J52" s="71">
        <f t="shared" si="30"/>
        <v>0</v>
      </c>
      <c r="K52" s="71">
        <f t="shared" si="30"/>
        <v>0</v>
      </c>
      <c r="L52" s="71">
        <f t="shared" si="30"/>
        <v>0</v>
      </c>
      <c r="M52" s="71">
        <f t="shared" si="30"/>
        <v>0</v>
      </c>
      <c r="N52" s="71">
        <f t="shared" si="30"/>
        <v>0</v>
      </c>
      <c r="O52" s="71">
        <f t="shared" ref="O52:O53" si="31">SUM(C52:N52)</f>
        <v>25500</v>
      </c>
    </row>
    <row r="53" spans="1:15" s="23" customFormat="1">
      <c r="A53" s="82"/>
      <c r="B53" s="77" t="s">
        <v>148</v>
      </c>
      <c r="C53" s="72">
        <f>C54*C55</f>
        <v>8500</v>
      </c>
      <c r="D53" s="72">
        <f t="shared" ref="D53:N53" si="32">D54*D55</f>
        <v>8500</v>
      </c>
      <c r="E53" s="72">
        <f t="shared" si="32"/>
        <v>8500</v>
      </c>
      <c r="F53" s="72">
        <f t="shared" si="32"/>
        <v>0</v>
      </c>
      <c r="G53" s="72">
        <f t="shared" si="32"/>
        <v>0</v>
      </c>
      <c r="H53" s="72">
        <f t="shared" si="32"/>
        <v>0</v>
      </c>
      <c r="I53" s="72">
        <f t="shared" si="32"/>
        <v>0</v>
      </c>
      <c r="J53" s="72">
        <f t="shared" si="32"/>
        <v>0</v>
      </c>
      <c r="K53" s="72">
        <f t="shared" si="32"/>
        <v>0</v>
      </c>
      <c r="L53" s="72">
        <f t="shared" si="32"/>
        <v>0</v>
      </c>
      <c r="M53" s="72">
        <f t="shared" si="32"/>
        <v>0</v>
      </c>
      <c r="N53" s="72">
        <f t="shared" si="32"/>
        <v>0</v>
      </c>
      <c r="O53" s="72">
        <f t="shared" si="31"/>
        <v>25500</v>
      </c>
    </row>
    <row r="54" spans="1:15">
      <c r="A54" s="65"/>
      <c r="B54" t="s">
        <v>149</v>
      </c>
      <c r="C54">
        <v>1</v>
      </c>
      <c r="D54">
        <v>1</v>
      </c>
      <c r="E54">
        <v>1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</row>
    <row r="55" spans="1:15">
      <c r="A55" s="65">
        <v>8500</v>
      </c>
      <c r="B55" t="s">
        <v>150</v>
      </c>
      <c r="C55" s="38">
        <f>$A$55</f>
        <v>8500</v>
      </c>
      <c r="D55" s="38">
        <f>C55</f>
        <v>8500</v>
      </c>
      <c r="E55" s="38">
        <f t="shared" ref="E55:N55" si="33">D55</f>
        <v>8500</v>
      </c>
      <c r="F55" s="38">
        <f t="shared" si="33"/>
        <v>8500</v>
      </c>
      <c r="G55" s="38">
        <f t="shared" si="33"/>
        <v>8500</v>
      </c>
      <c r="H55" s="38">
        <f t="shared" si="33"/>
        <v>8500</v>
      </c>
      <c r="I55" s="38">
        <f t="shared" si="33"/>
        <v>8500</v>
      </c>
      <c r="J55" s="38">
        <f t="shared" si="33"/>
        <v>8500</v>
      </c>
      <c r="K55" s="38">
        <f t="shared" si="33"/>
        <v>8500</v>
      </c>
      <c r="L55" s="38">
        <f t="shared" si="33"/>
        <v>8500</v>
      </c>
      <c r="M55" s="38">
        <f t="shared" si="33"/>
        <v>8500</v>
      </c>
      <c r="N55" s="38">
        <f t="shared" si="33"/>
        <v>8500</v>
      </c>
    </row>
  </sheetData>
  <pageMargins left="0.70866141732283472" right="0.70866141732283472" top="0.74803149606299213" bottom="0.74803149606299213" header="0.31496062992125984" footer="0.31496062992125984"/>
  <pageSetup paperSize="9" scale="60" orientation="landscape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24"/>
  <sheetViews>
    <sheetView showGridLines="0" workbookViewId="0"/>
  </sheetViews>
  <sheetFormatPr baseColWidth="10" defaultRowHeight="15"/>
  <cols>
    <col min="2" max="2" width="20.85546875" customWidth="1"/>
    <col min="3" max="3" width="27.28515625" customWidth="1"/>
    <col min="4" max="4" width="12.7109375" style="127" bestFit="1" customWidth="1"/>
    <col min="5" max="5" width="71" customWidth="1"/>
    <col min="6" max="32" width="0" hidden="1" customWidth="1"/>
  </cols>
  <sheetData>
    <row r="2" spans="2:6" ht="21">
      <c r="B2" s="169" t="s">
        <v>574</v>
      </c>
    </row>
    <row r="4" spans="2:6" ht="15.75">
      <c r="B4" s="231" t="s">
        <v>208</v>
      </c>
      <c r="C4" s="231"/>
      <c r="D4" s="231"/>
      <c r="E4" s="231"/>
    </row>
    <row r="6" spans="2:6" s="119" customFormat="1" ht="31.5" customHeight="1">
      <c r="B6" s="86" t="s">
        <v>209</v>
      </c>
      <c r="C6" s="86" t="s">
        <v>210</v>
      </c>
      <c r="D6" s="86" t="s">
        <v>211</v>
      </c>
      <c r="E6" s="86" t="s">
        <v>212</v>
      </c>
    </row>
    <row r="7" spans="2:6">
      <c r="B7" s="227" t="s">
        <v>213</v>
      </c>
      <c r="C7" s="9" t="s">
        <v>214</v>
      </c>
      <c r="D7" s="92" t="s">
        <v>215</v>
      </c>
      <c r="E7" s="229" t="s">
        <v>216</v>
      </c>
      <c r="F7" t="s">
        <v>217</v>
      </c>
    </row>
    <row r="8" spans="2:6">
      <c r="B8" s="232"/>
      <c r="C8" s="9" t="s">
        <v>218</v>
      </c>
      <c r="D8" s="92" t="s">
        <v>215</v>
      </c>
      <c r="E8" s="233"/>
    </row>
    <row r="9" spans="2:6">
      <c r="B9" s="228"/>
      <c r="C9" s="9" t="s">
        <v>219</v>
      </c>
      <c r="D9" s="92" t="s">
        <v>215</v>
      </c>
      <c r="E9" s="230"/>
    </row>
    <row r="10" spans="2:6">
      <c r="B10" s="227" t="s">
        <v>220</v>
      </c>
      <c r="C10" s="9" t="s">
        <v>221</v>
      </c>
      <c r="D10" s="92" t="s">
        <v>215</v>
      </c>
      <c r="E10" s="229" t="s">
        <v>222</v>
      </c>
    </row>
    <row r="11" spans="2:6">
      <c r="B11" s="232"/>
      <c r="C11" s="9" t="s">
        <v>223</v>
      </c>
      <c r="D11" s="92" t="s">
        <v>215</v>
      </c>
      <c r="E11" s="233"/>
      <c r="F11" t="s">
        <v>224</v>
      </c>
    </row>
    <row r="12" spans="2:6">
      <c r="B12" s="232"/>
      <c r="C12" s="9" t="s">
        <v>225</v>
      </c>
      <c r="D12" s="92" t="s">
        <v>215</v>
      </c>
      <c r="E12" s="233"/>
    </row>
    <row r="13" spans="2:6">
      <c r="B13" s="232"/>
      <c r="C13" s="9" t="s">
        <v>226</v>
      </c>
      <c r="D13" s="92" t="s">
        <v>215</v>
      </c>
      <c r="E13" s="233"/>
    </row>
    <row r="14" spans="2:6">
      <c r="B14" s="228"/>
      <c r="C14" s="9" t="s">
        <v>227</v>
      </c>
      <c r="D14" s="92" t="s">
        <v>215</v>
      </c>
      <c r="E14" s="230"/>
    </row>
    <row r="15" spans="2:6">
      <c r="B15" s="227" t="s">
        <v>228</v>
      </c>
      <c r="C15" s="9" t="s">
        <v>229</v>
      </c>
      <c r="D15" s="92" t="s">
        <v>215</v>
      </c>
      <c r="E15" s="229" t="s">
        <v>230</v>
      </c>
    </row>
    <row r="16" spans="2:6">
      <c r="B16" s="232"/>
      <c r="C16" s="9" t="s">
        <v>231</v>
      </c>
      <c r="D16" s="92" t="s">
        <v>215</v>
      </c>
      <c r="E16" s="233"/>
    </row>
    <row r="17" spans="2:6">
      <c r="B17" s="232"/>
      <c r="C17" s="9" t="s">
        <v>232</v>
      </c>
      <c r="D17" s="92" t="s">
        <v>215</v>
      </c>
      <c r="E17" s="233"/>
      <c r="F17" t="s">
        <v>233</v>
      </c>
    </row>
    <row r="18" spans="2:6">
      <c r="B18" s="232"/>
      <c r="C18" s="9" t="s">
        <v>234</v>
      </c>
      <c r="D18" s="92" t="s">
        <v>215</v>
      </c>
      <c r="E18" s="233"/>
    </row>
    <row r="19" spans="2:6">
      <c r="B19" s="232"/>
      <c r="C19" s="9" t="s">
        <v>235</v>
      </c>
      <c r="D19" s="92" t="s">
        <v>215</v>
      </c>
      <c r="E19" s="233"/>
    </row>
    <row r="20" spans="2:6">
      <c r="B20" s="228"/>
      <c r="C20" s="9" t="s">
        <v>236</v>
      </c>
      <c r="D20" s="92" t="s">
        <v>215</v>
      </c>
      <c r="E20" s="230"/>
    </row>
    <row r="21" spans="2:6" ht="30">
      <c r="B21" s="227" t="s">
        <v>237</v>
      </c>
      <c r="C21" s="120" t="s">
        <v>238</v>
      </c>
      <c r="D21" s="121" t="s">
        <v>215</v>
      </c>
      <c r="E21" s="122" t="s">
        <v>239</v>
      </c>
    </row>
    <row r="22" spans="2:6" s="123" customFormat="1" ht="30">
      <c r="B22" s="228"/>
      <c r="C22" s="120" t="s">
        <v>240</v>
      </c>
      <c r="D22" s="121" t="s">
        <v>215</v>
      </c>
      <c r="E22" s="120" t="s">
        <v>241</v>
      </c>
      <c r="F22" s="123" t="s">
        <v>242</v>
      </c>
    </row>
    <row r="23" spans="2:6" s="126" customFormat="1" ht="23.25" customHeight="1">
      <c r="B23" s="227" t="s">
        <v>243</v>
      </c>
      <c r="C23" s="124" t="s">
        <v>244</v>
      </c>
      <c r="D23" s="125" t="s">
        <v>245</v>
      </c>
      <c r="E23" s="229" t="s">
        <v>246</v>
      </c>
      <c r="F23" s="126" t="s">
        <v>247</v>
      </c>
    </row>
    <row r="24" spans="2:6" s="126" customFormat="1" ht="23.25" customHeight="1">
      <c r="B24" s="228"/>
      <c r="C24" s="124" t="s">
        <v>248</v>
      </c>
      <c r="D24" s="125" t="s">
        <v>245</v>
      </c>
      <c r="E24" s="230"/>
    </row>
  </sheetData>
  <mergeCells count="10">
    <mergeCell ref="B21:B22"/>
    <mergeCell ref="B23:B24"/>
    <mergeCell ref="E23:E24"/>
    <mergeCell ref="B4:E4"/>
    <mergeCell ref="B7:B9"/>
    <mergeCell ref="E7:E9"/>
    <mergeCell ref="B10:B14"/>
    <mergeCell ref="E10:E14"/>
    <mergeCell ref="B15:B20"/>
    <mergeCell ref="E15:E20"/>
  </mergeCells>
  <pageMargins left="0.70866141732283472" right="0.70866141732283472" top="0.74803149606299213" bottom="0.74803149606299213" header="0.31496062992125984" footer="0.31496062992125984"/>
  <pageSetup paperSize="9" scale="93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B3:I28"/>
  <sheetViews>
    <sheetView showGridLines="0" topLeftCell="A2" workbookViewId="0">
      <selection activeCell="A2" sqref="A2"/>
    </sheetView>
  </sheetViews>
  <sheetFormatPr baseColWidth="10" defaultRowHeight="15"/>
  <cols>
    <col min="2" max="2" width="45" customWidth="1"/>
    <col min="6" max="6" width="22.140625" customWidth="1"/>
  </cols>
  <sheetData>
    <row r="3" spans="2:9" ht="21">
      <c r="B3" s="169" t="s">
        <v>575</v>
      </c>
    </row>
    <row r="5" spans="2:9">
      <c r="B5" s="238" t="s">
        <v>279</v>
      </c>
      <c r="C5" s="238"/>
      <c r="D5" s="238"/>
      <c r="E5" s="240"/>
      <c r="F5" s="238" t="s">
        <v>278</v>
      </c>
      <c r="G5" s="238"/>
      <c r="H5" s="238"/>
      <c r="I5" s="238"/>
    </row>
    <row r="6" spans="2:9" ht="15.75" thickBot="1">
      <c r="B6" s="234"/>
      <c r="C6" s="234"/>
      <c r="D6" s="234"/>
      <c r="E6" s="240"/>
      <c r="F6" s="234"/>
      <c r="G6" s="234"/>
      <c r="H6" s="234"/>
      <c r="I6" s="234"/>
    </row>
    <row r="7" spans="2:9" s="133" customFormat="1">
      <c r="B7" s="235" t="s">
        <v>277</v>
      </c>
      <c r="C7" s="136" t="s">
        <v>275</v>
      </c>
      <c r="D7" s="136" t="s">
        <v>274</v>
      </c>
      <c r="E7" s="240"/>
      <c r="F7" s="235" t="s">
        <v>276</v>
      </c>
      <c r="G7" s="136" t="s">
        <v>275</v>
      </c>
      <c r="H7" s="136" t="s">
        <v>274</v>
      </c>
      <c r="I7" s="136" t="s">
        <v>273</v>
      </c>
    </row>
    <row r="8" spans="2:9" s="133" customFormat="1" ht="28.5">
      <c r="B8" s="236"/>
      <c r="C8" s="135">
        <v>41193</v>
      </c>
      <c r="D8" s="134">
        <v>11</v>
      </c>
      <c r="E8" s="240"/>
      <c r="F8" s="236"/>
      <c r="G8" s="135">
        <v>41193</v>
      </c>
      <c r="H8" s="134">
        <v>11</v>
      </c>
      <c r="I8" s="134" t="s">
        <v>272</v>
      </c>
    </row>
    <row r="9" spans="2:9" ht="15.75" thickBot="1">
      <c r="B9" s="131" t="s">
        <v>271</v>
      </c>
      <c r="C9" s="129">
        <v>140.61000000000001</v>
      </c>
      <c r="D9" s="129">
        <v>0.3</v>
      </c>
      <c r="E9" s="240"/>
      <c r="F9" s="130" t="s">
        <v>270</v>
      </c>
      <c r="G9" s="129">
        <v>1.78</v>
      </c>
      <c r="H9" s="129">
        <v>0.59</v>
      </c>
      <c r="I9" s="132">
        <v>2303.1999999999998</v>
      </c>
    </row>
    <row r="10" spans="2:9" ht="15.75" thickBot="1">
      <c r="B10" s="131" t="s">
        <v>269</v>
      </c>
      <c r="C10" s="129">
        <v>1.34</v>
      </c>
      <c r="D10" s="129">
        <v>0.12</v>
      </c>
      <c r="E10" s="240"/>
      <c r="F10" s="130" t="s">
        <v>268</v>
      </c>
      <c r="G10" s="129">
        <v>0.34</v>
      </c>
      <c r="H10" s="129">
        <v>0.12</v>
      </c>
      <c r="I10" s="128">
        <v>448.96</v>
      </c>
    </row>
    <row r="11" spans="2:9" ht="15.75" thickBot="1">
      <c r="B11" s="131" t="s">
        <v>267</v>
      </c>
      <c r="C11" s="129">
        <v>0.72</v>
      </c>
      <c r="D11" s="129">
        <v>0.08</v>
      </c>
      <c r="E11" s="240"/>
      <c r="F11" s="130" t="s">
        <v>266</v>
      </c>
      <c r="G11" s="129">
        <v>0.6</v>
      </c>
      <c r="H11" s="129">
        <v>7.0000000000000007E-2</v>
      </c>
      <c r="I11" s="128">
        <v>252.84</v>
      </c>
    </row>
    <row r="12" spans="2:9" ht="15.75" thickBot="1">
      <c r="B12" s="131" t="s">
        <v>265</v>
      </c>
      <c r="C12" s="129">
        <v>-0.09</v>
      </c>
      <c r="D12" s="129">
        <v>7.0000000000000007E-2</v>
      </c>
      <c r="E12" s="240"/>
      <c r="F12" s="130" t="s">
        <v>264</v>
      </c>
      <c r="G12" s="129">
        <v>0.04</v>
      </c>
      <c r="H12" s="129">
        <v>0.04</v>
      </c>
      <c r="I12" s="128">
        <v>167.16</v>
      </c>
    </row>
    <row r="13" spans="2:9" ht="15.75" thickBot="1">
      <c r="B13" s="131" t="s">
        <v>263</v>
      </c>
      <c r="C13" s="129">
        <v>0.08</v>
      </c>
      <c r="D13" s="129">
        <v>7.0000000000000007E-2</v>
      </c>
      <c r="E13" s="240"/>
      <c r="F13" s="130" t="s">
        <v>262</v>
      </c>
      <c r="G13" s="129">
        <v>0.99</v>
      </c>
      <c r="H13" s="129">
        <v>0.03</v>
      </c>
      <c r="I13" s="128">
        <v>108.35</v>
      </c>
    </row>
    <row r="14" spans="2:9" ht="15.75" thickBot="1">
      <c r="B14" s="131" t="s">
        <v>261</v>
      </c>
      <c r="C14" s="129">
        <v>1.61</v>
      </c>
      <c r="D14" s="129">
        <v>0.06</v>
      </c>
      <c r="E14" s="240"/>
      <c r="F14" s="130" t="s">
        <v>260</v>
      </c>
      <c r="G14" s="129">
        <v>0.94</v>
      </c>
      <c r="H14" s="129">
        <v>0.03</v>
      </c>
      <c r="I14" s="128">
        <v>103.46</v>
      </c>
    </row>
    <row r="15" spans="2:9" ht="15.75" thickBot="1">
      <c r="B15" s="131" t="s">
        <v>259</v>
      </c>
      <c r="C15" s="129">
        <v>0.44</v>
      </c>
      <c r="D15" s="129">
        <v>0.04</v>
      </c>
      <c r="E15" s="240"/>
      <c r="F15" s="130" t="s">
        <v>258</v>
      </c>
      <c r="G15" s="129">
        <v>0.79</v>
      </c>
      <c r="H15" s="129">
        <v>0.02</v>
      </c>
      <c r="I15" s="128">
        <v>87.67</v>
      </c>
    </row>
    <row r="16" spans="2:9" ht="15.75" thickBot="1">
      <c r="B16" s="131" t="s">
        <v>257</v>
      </c>
      <c r="C16" s="129">
        <v>0.27</v>
      </c>
      <c r="D16" s="129">
        <v>0.04</v>
      </c>
      <c r="E16" s="240"/>
      <c r="F16" s="130" t="s">
        <v>256</v>
      </c>
      <c r="G16" s="129">
        <v>-0.42</v>
      </c>
      <c r="H16" s="129">
        <v>0.01</v>
      </c>
      <c r="I16" s="128">
        <v>52.27</v>
      </c>
    </row>
    <row r="17" spans="2:9" ht="15.75" thickBot="1">
      <c r="B17" s="131" t="s">
        <v>255</v>
      </c>
      <c r="C17" s="129">
        <v>0.49</v>
      </c>
      <c r="D17" s="129">
        <v>0.03</v>
      </c>
      <c r="E17" s="240"/>
      <c r="F17" s="130" t="s">
        <v>254</v>
      </c>
      <c r="G17" s="129">
        <v>32.97</v>
      </c>
      <c r="H17" s="129">
        <v>0.01</v>
      </c>
      <c r="I17" s="128">
        <v>44.84</v>
      </c>
    </row>
    <row r="18" spans="2:9" ht="15.75" thickBot="1">
      <c r="B18" s="130" t="s">
        <v>253</v>
      </c>
      <c r="C18" s="128" t="s">
        <v>251</v>
      </c>
      <c r="D18" s="129">
        <v>0.17</v>
      </c>
      <c r="E18" s="240"/>
      <c r="F18" s="130" t="s">
        <v>252</v>
      </c>
      <c r="G18" s="128" t="s">
        <v>251</v>
      </c>
      <c r="H18" s="129">
        <v>0.08</v>
      </c>
      <c r="I18" s="128">
        <v>311.45999999999998</v>
      </c>
    </row>
    <row r="19" spans="2:9">
      <c r="B19" s="239" t="s">
        <v>250</v>
      </c>
      <c r="C19" s="239"/>
      <c r="D19" s="239"/>
      <c r="E19" s="240"/>
      <c r="F19" s="237" t="s">
        <v>249</v>
      </c>
      <c r="G19" s="237"/>
      <c r="H19" s="237"/>
      <c r="I19" s="237"/>
    </row>
    <row r="28" spans="2:9">
      <c r="B28" t="s">
        <v>280</v>
      </c>
    </row>
  </sheetData>
  <mergeCells count="9">
    <mergeCell ref="F6:I6"/>
    <mergeCell ref="B7:B8"/>
    <mergeCell ref="F7:F8"/>
    <mergeCell ref="F19:I19"/>
    <mergeCell ref="B5:D5"/>
    <mergeCell ref="B6:D6"/>
    <mergeCell ref="B19:D19"/>
    <mergeCell ref="E5:E19"/>
    <mergeCell ref="F5:I5"/>
  </mergeCells>
  <hyperlinks>
    <hyperlink ref="B9" r:id="rId1" tooltip="DESTILERIA LA CARAVEDO S.A.C" display="javascript:Redireccionar(20524386241,'DESTILERIA LA CARAVEDO S.A.C');"/>
    <hyperlink ref="B10" r:id="rId2" tooltip="BODEGA SAN ISIDRO SOCIEDAD ANONIMA CERRADA" display="javascript:Redireccionar(20503644968,'BODEGA SAN ISIDRO SOCIEDAD ANONIMA CERRADA');"/>
    <hyperlink ref="B11" r:id="rId3" tooltip="VINA TACAMA S.A" display="javascript:Redireccionar(20216789611,'VINA TACAMA S.A');"/>
    <hyperlink ref="B12" r:id="rId4" tooltip="SANTIAGO QUEIROLO S.A.C." display="javascript:Redireccionar(20100097746,'SANTIAGO QUEIROLO S.A.C.');"/>
    <hyperlink ref="B13" r:id="rId5" tooltip="BODEGAS VIñAS DE ORO S.A." display="javascript:Redireccionar(20107198106,'BODEGAS VIñAS DE ORO S.A.');"/>
    <hyperlink ref="B14" r:id="rId6" tooltip="VIÑA OCUCAJE S A" display="javascript:Redireccionar(20100048371,'VIÑA OCUCAJE S A');"/>
    <hyperlink ref="B15" r:id="rId7" tooltip="PURO PERU S.A.C." display="javascript:Redireccionar(20509175927,'PURO PERU S.A.C.');"/>
    <hyperlink ref="B16" r:id="rId8" tooltip="COMPAñIA DESTILADORA DEL PERU S.R.L." display="javascript:Redireccionar(20512631461,'COMPAñIA DESTILADORA DEL PERU S.R.L.');"/>
    <hyperlink ref="B17" r:id="rId9" tooltip="AGROINDUSTRIAS LS S.A. - AGRILLSA." display="javascript:Redireccionar(20516046105,'AGROINDUSTRIAS LS S.A. - AGRILLSA.');"/>
  </hyperlinks>
  <pageMargins left="0.70866141732283472" right="0.70866141732283472" top="0.74803149606299213" bottom="0.74803149606299213" header="0.31496062992125984" footer="0.31496062992125984"/>
  <pageSetup paperSize="9" scale="90" orientation="landscape" horizontalDpi="300" verticalDpi="300" r:id="rId10"/>
  <legacyDrawing r:id="rId11"/>
  <controls>
    <control shapeId="2049" r:id="rId12" name="Control 1"/>
    <control shapeId="2050" r:id="rId13" name="Control 2"/>
    <control shapeId="2051" r:id="rId14" name="Control 3"/>
    <control shapeId="2054" r:id="rId15" name="Control 6"/>
    <control shapeId="2055" r:id="rId16" name="Control 7"/>
    <control shapeId="2056" r:id="rId17" name="Control 8"/>
  </control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58"/>
  <sheetViews>
    <sheetView workbookViewId="0"/>
  </sheetViews>
  <sheetFormatPr baseColWidth="10" defaultRowHeight="15"/>
  <cols>
    <col min="1" max="1" width="40.7109375" bestFit="1" customWidth="1"/>
    <col min="2" max="2" width="11.7109375" bestFit="1" customWidth="1"/>
    <col min="3" max="3" width="4.42578125" customWidth="1"/>
    <col min="4" max="4" width="4" customWidth="1"/>
    <col min="5" max="5" width="12.7109375" bestFit="1" customWidth="1"/>
    <col min="7" max="7" width="19.5703125" bestFit="1" customWidth="1"/>
  </cols>
  <sheetData>
    <row r="2" spans="1:7" ht="21">
      <c r="A2" s="169" t="s">
        <v>576</v>
      </c>
    </row>
    <row r="4" spans="1:7" ht="18.75">
      <c r="A4" s="209" t="s">
        <v>618</v>
      </c>
    </row>
    <row r="5" spans="1:7" ht="18.75">
      <c r="A5" s="209"/>
    </row>
    <row r="7" spans="1:7">
      <c r="A7" s="75" t="s">
        <v>580</v>
      </c>
      <c r="E7" s="210" t="s">
        <v>581</v>
      </c>
      <c r="G7" s="75" t="s">
        <v>582</v>
      </c>
    </row>
    <row r="9" spans="1:7">
      <c r="A9" t="s">
        <v>583</v>
      </c>
      <c r="E9" s="110">
        <v>0</v>
      </c>
      <c r="G9" s="109">
        <v>708100</v>
      </c>
    </row>
    <row r="10" spans="1:7">
      <c r="A10" t="s">
        <v>423</v>
      </c>
      <c r="E10" s="110">
        <v>0</v>
      </c>
      <c r="G10" s="109">
        <v>2421400</v>
      </c>
    </row>
    <row r="11" spans="1:7">
      <c r="A11" t="s">
        <v>584</v>
      </c>
      <c r="E11" s="109">
        <f>SUM(E9:E10)</f>
        <v>0</v>
      </c>
      <c r="G11" s="109">
        <f>SUM(G9:G10)</f>
        <v>3129500</v>
      </c>
    </row>
    <row r="12" spans="1:7">
      <c r="G12" s="109"/>
    </row>
    <row r="13" spans="1:7">
      <c r="A13" t="s">
        <v>585</v>
      </c>
      <c r="E13" s="109">
        <v>766602</v>
      </c>
      <c r="G13" s="109">
        <v>2676000</v>
      </c>
    </row>
    <row r="15" spans="1:7">
      <c r="A15" t="s">
        <v>586</v>
      </c>
      <c r="E15" s="211">
        <v>0.6</v>
      </c>
      <c r="G15" s="211">
        <v>1.22</v>
      </c>
    </row>
    <row r="17" spans="1:10">
      <c r="A17" t="s">
        <v>587</v>
      </c>
      <c r="E17" s="40">
        <v>0.35</v>
      </c>
      <c r="G17" s="40">
        <v>0.36</v>
      </c>
      <c r="H17" s="137" t="s">
        <v>282</v>
      </c>
    </row>
    <row r="19" spans="1:10">
      <c r="A19" s="75" t="s">
        <v>588</v>
      </c>
    </row>
    <row r="20" spans="1:10" ht="18">
      <c r="E20" s="212" t="s">
        <v>589</v>
      </c>
      <c r="F20" s="213"/>
      <c r="G20" s="213" t="s">
        <v>590</v>
      </c>
      <c r="H20" s="214"/>
    </row>
    <row r="21" spans="1:10">
      <c r="E21" s="215"/>
      <c r="F21" s="44"/>
      <c r="G21" s="44" t="s">
        <v>591</v>
      </c>
      <c r="H21" s="216"/>
    </row>
    <row r="22" spans="1:10">
      <c r="E22" s="217"/>
      <c r="F22" s="218"/>
      <c r="G22" s="218" t="s">
        <v>592</v>
      </c>
      <c r="H22" s="7"/>
    </row>
    <row r="24" spans="1:10">
      <c r="A24" t="s">
        <v>593</v>
      </c>
      <c r="E24" s="219">
        <f>+E15/(1+((1-E17)*E11/E13))</f>
        <v>0.6</v>
      </c>
      <c r="F24" s="219"/>
      <c r="G24" s="219">
        <f>+G15/(1+((1-G17)*G11/G13))</f>
        <v>0.69775672810587142</v>
      </c>
    </row>
    <row r="25" spans="1:10">
      <c r="I25" s="107"/>
      <c r="J25" s="107"/>
    </row>
    <row r="26" spans="1:10" ht="20.25">
      <c r="A26" t="s">
        <v>594</v>
      </c>
      <c r="E26" s="209" t="s">
        <v>595</v>
      </c>
      <c r="F26" s="219">
        <f>(E24+G24)/2</f>
        <v>0.64887836405293564</v>
      </c>
    </row>
    <row r="33" spans="1:6">
      <c r="A33" s="75" t="s">
        <v>596</v>
      </c>
    </row>
    <row r="35" spans="1:6" ht="20.25">
      <c r="A35" s="220" t="s">
        <v>597</v>
      </c>
      <c r="B35" s="107">
        <f>+'[1]S&amp;P500 y T-Bond'!D96</f>
        <v>7.3891417634009554E-2</v>
      </c>
      <c r="E35" t="s">
        <v>598</v>
      </c>
    </row>
    <row r="36" spans="1:6" ht="20.25">
      <c r="A36" s="220" t="s">
        <v>599</v>
      </c>
      <c r="B36" s="107">
        <f>+'[1]S&amp;P500 y T-Bond'!B96</f>
        <v>9.4666368193432701E-2</v>
      </c>
      <c r="E36" t="s">
        <v>598</v>
      </c>
    </row>
    <row r="37" spans="1:6" ht="18.75">
      <c r="A37" s="221" t="s">
        <v>600</v>
      </c>
      <c r="B37" s="222">
        <f>+F26</f>
        <v>0.64887836405293564</v>
      </c>
    </row>
    <row r="38" spans="1:6">
      <c r="A38" s="223" t="s">
        <v>601</v>
      </c>
      <c r="B38" s="107">
        <f>+'[1]Riesgo Pais'!C80/10000</f>
        <v>2.1837312945627126E-2</v>
      </c>
      <c r="E38" t="s">
        <v>602</v>
      </c>
      <c r="F38" t="s">
        <v>603</v>
      </c>
    </row>
    <row r="39" spans="1:6">
      <c r="A39" s="223" t="s">
        <v>604</v>
      </c>
      <c r="B39" s="224">
        <v>1.4080000000000001E-2</v>
      </c>
      <c r="E39" s="137" t="s">
        <v>605</v>
      </c>
    </row>
    <row r="40" spans="1:6">
      <c r="A40" s="223" t="s">
        <v>606</v>
      </c>
      <c r="B40" s="107">
        <v>2.5999999999999999E-2</v>
      </c>
      <c r="E40" s="137" t="s">
        <v>607</v>
      </c>
    </row>
    <row r="41" spans="1:6">
      <c r="A41" t="s">
        <v>608</v>
      </c>
      <c r="B41" s="107">
        <v>0.3</v>
      </c>
    </row>
    <row r="42" spans="1:6">
      <c r="A42" s="223"/>
      <c r="B42" s="107"/>
    </row>
    <row r="43" spans="1:6" ht="20.25">
      <c r="A43" s="220" t="s">
        <v>609</v>
      </c>
      <c r="B43" s="225">
        <f>+B35+(B37*(B36-B35))</f>
        <v>8.7371833566288665E-2</v>
      </c>
      <c r="D43" s="107"/>
    </row>
    <row r="45" spans="1:6">
      <c r="A45" t="s">
        <v>610</v>
      </c>
      <c r="B45" s="225">
        <f>((1+B43)/(1+B39))-1</f>
        <v>7.2274212652146508E-2</v>
      </c>
      <c r="D45" s="107"/>
    </row>
    <row r="47" spans="1:6">
      <c r="A47" t="s">
        <v>611</v>
      </c>
      <c r="B47" s="225">
        <f>+B45+B38</f>
        <v>9.4111525597773638E-2</v>
      </c>
      <c r="F47" s="107"/>
    </row>
    <row r="48" spans="1:6">
      <c r="B48" s="75"/>
      <c r="F48" s="107"/>
    </row>
    <row r="49" spans="1:2">
      <c r="A49" t="s">
        <v>612</v>
      </c>
      <c r="B49" s="225">
        <f>(1+B47)*(1+B40)-1</f>
        <v>0.12255842526331562</v>
      </c>
    </row>
    <row r="51" spans="1:2">
      <c r="A51" t="s">
        <v>608</v>
      </c>
      <c r="B51" s="40">
        <v>0.3</v>
      </c>
    </row>
    <row r="53" spans="1:2">
      <c r="A53" s="75" t="s">
        <v>613</v>
      </c>
      <c r="B53" s="107">
        <v>0.2</v>
      </c>
    </row>
    <row r="55" spans="1:2">
      <c r="A55" t="s">
        <v>614</v>
      </c>
      <c r="B55" s="112">
        <v>120000</v>
      </c>
    </row>
    <row r="56" spans="1:2">
      <c r="A56" t="s">
        <v>615</v>
      </c>
      <c r="B56" s="112">
        <v>164737.22593026637</v>
      </c>
    </row>
    <row r="58" spans="1:2">
      <c r="A58" s="75" t="s">
        <v>616</v>
      </c>
      <c r="B58" s="225">
        <f>B49*(B55/(B55+B56))+B53*(B56/(B55+B56)*(1-B41))</f>
        <v>0.13264940170164224</v>
      </c>
    </row>
  </sheetData>
  <hyperlinks>
    <hyperlink ref="E39" r:id="rId1"/>
    <hyperlink ref="H17" r:id="rId2"/>
    <hyperlink ref="E40" r:id="rId3"/>
  </hyperlinks>
  <pageMargins left="0.70866141732283472" right="0.70866141732283472" top="0.74803149606299213" bottom="0.74803149606299213" header="0.31496062992125984" footer="0.31496062992125984"/>
  <pageSetup scale="81" fitToHeight="2" orientation="landscape" r:id="rId4"/>
</worksheet>
</file>

<file path=xl/worksheets/sheet7.xml><?xml version="1.0" encoding="utf-8"?>
<worksheet xmlns="http://schemas.openxmlformats.org/spreadsheetml/2006/main" xmlns:r="http://schemas.openxmlformats.org/officeDocument/2006/relationships">
  <dimension ref="B2:B7"/>
  <sheetViews>
    <sheetView workbookViewId="0"/>
  </sheetViews>
  <sheetFormatPr baseColWidth="10" defaultRowHeight="15"/>
  <sheetData>
    <row r="2" spans="2:2" ht="21">
      <c r="B2" s="169" t="s">
        <v>577</v>
      </c>
    </row>
    <row r="4" spans="2:2" ht="18">
      <c r="B4" s="208" t="s">
        <v>281</v>
      </c>
    </row>
    <row r="5" spans="2:2">
      <c r="B5" s="137" t="s">
        <v>282</v>
      </c>
    </row>
    <row r="6" spans="2:2">
      <c r="B6" s="137"/>
    </row>
    <row r="7" spans="2:2">
      <c r="B7" s="137"/>
    </row>
  </sheetData>
  <hyperlinks>
    <hyperlink ref="B5" r:id="rId1"/>
  </hyperlinks>
  <pageMargins left="0.7" right="0.7" top="0.75" bottom="0.75" header="0.3" footer="0.3"/>
  <pageSetup paperSize="9" orientation="portrait" horizontalDpi="300" verticalDpi="300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11"/>
  <sheetViews>
    <sheetView workbookViewId="0"/>
  </sheetViews>
  <sheetFormatPr baseColWidth="10" defaultRowHeight="15.75"/>
  <cols>
    <col min="1" max="1" width="23.140625" style="140" customWidth="1"/>
    <col min="2" max="2" width="20.140625" style="140" customWidth="1"/>
    <col min="3" max="4" width="11.42578125" style="140"/>
    <col min="5" max="5" width="13.85546875" style="140" bestFit="1" customWidth="1"/>
    <col min="6" max="6" width="16" style="140" customWidth="1"/>
    <col min="7" max="7" width="16.5703125" style="140" bestFit="1" customWidth="1"/>
    <col min="8" max="8" width="14.42578125" style="140" bestFit="1" customWidth="1"/>
    <col min="9" max="9" width="16.5703125" style="140" bestFit="1" customWidth="1"/>
    <col min="10" max="256" width="11.42578125" style="140"/>
    <col min="257" max="257" width="14.140625" style="140" customWidth="1"/>
    <col min="258" max="258" width="20.140625" style="140" customWidth="1"/>
    <col min="259" max="512" width="11.42578125" style="140"/>
    <col min="513" max="513" width="14.140625" style="140" customWidth="1"/>
    <col min="514" max="514" width="20.140625" style="140" customWidth="1"/>
    <col min="515" max="768" width="11.42578125" style="140"/>
    <col min="769" max="769" width="14.140625" style="140" customWidth="1"/>
    <col min="770" max="770" width="20.140625" style="140" customWidth="1"/>
    <col min="771" max="1024" width="11.42578125" style="140"/>
    <col min="1025" max="1025" width="14.140625" style="140" customWidth="1"/>
    <col min="1026" max="1026" width="20.140625" style="140" customWidth="1"/>
    <col min="1027" max="1280" width="11.42578125" style="140"/>
    <col min="1281" max="1281" width="14.140625" style="140" customWidth="1"/>
    <col min="1282" max="1282" width="20.140625" style="140" customWidth="1"/>
    <col min="1283" max="1536" width="11.42578125" style="140"/>
    <col min="1537" max="1537" width="14.140625" style="140" customWidth="1"/>
    <col min="1538" max="1538" width="20.140625" style="140" customWidth="1"/>
    <col min="1539" max="1792" width="11.42578125" style="140"/>
    <col min="1793" max="1793" width="14.140625" style="140" customWidth="1"/>
    <col min="1794" max="1794" width="20.140625" style="140" customWidth="1"/>
    <col min="1795" max="2048" width="11.42578125" style="140"/>
    <col min="2049" max="2049" width="14.140625" style="140" customWidth="1"/>
    <col min="2050" max="2050" width="20.140625" style="140" customWidth="1"/>
    <col min="2051" max="2304" width="11.42578125" style="140"/>
    <col min="2305" max="2305" width="14.140625" style="140" customWidth="1"/>
    <col min="2306" max="2306" width="20.140625" style="140" customWidth="1"/>
    <col min="2307" max="2560" width="11.42578125" style="140"/>
    <col min="2561" max="2561" width="14.140625" style="140" customWidth="1"/>
    <col min="2562" max="2562" width="20.140625" style="140" customWidth="1"/>
    <col min="2563" max="2816" width="11.42578125" style="140"/>
    <col min="2817" max="2817" width="14.140625" style="140" customWidth="1"/>
    <col min="2818" max="2818" width="20.140625" style="140" customWidth="1"/>
    <col min="2819" max="3072" width="11.42578125" style="140"/>
    <col min="3073" max="3073" width="14.140625" style="140" customWidth="1"/>
    <col min="3074" max="3074" width="20.140625" style="140" customWidth="1"/>
    <col min="3075" max="3328" width="11.42578125" style="140"/>
    <col min="3329" max="3329" width="14.140625" style="140" customWidth="1"/>
    <col min="3330" max="3330" width="20.140625" style="140" customWidth="1"/>
    <col min="3331" max="3584" width="11.42578125" style="140"/>
    <col min="3585" max="3585" width="14.140625" style="140" customWidth="1"/>
    <col min="3586" max="3586" width="20.140625" style="140" customWidth="1"/>
    <col min="3587" max="3840" width="11.42578125" style="140"/>
    <col min="3841" max="3841" width="14.140625" style="140" customWidth="1"/>
    <col min="3842" max="3842" width="20.140625" style="140" customWidth="1"/>
    <col min="3843" max="4096" width="11.42578125" style="140"/>
    <col min="4097" max="4097" width="14.140625" style="140" customWidth="1"/>
    <col min="4098" max="4098" width="20.140625" style="140" customWidth="1"/>
    <col min="4099" max="4352" width="11.42578125" style="140"/>
    <col min="4353" max="4353" width="14.140625" style="140" customWidth="1"/>
    <col min="4354" max="4354" width="20.140625" style="140" customWidth="1"/>
    <col min="4355" max="4608" width="11.42578125" style="140"/>
    <col min="4609" max="4609" width="14.140625" style="140" customWidth="1"/>
    <col min="4610" max="4610" width="20.140625" style="140" customWidth="1"/>
    <col min="4611" max="4864" width="11.42578125" style="140"/>
    <col min="4865" max="4865" width="14.140625" style="140" customWidth="1"/>
    <col min="4866" max="4866" width="20.140625" style="140" customWidth="1"/>
    <col min="4867" max="5120" width="11.42578125" style="140"/>
    <col min="5121" max="5121" width="14.140625" style="140" customWidth="1"/>
    <col min="5122" max="5122" width="20.140625" style="140" customWidth="1"/>
    <col min="5123" max="5376" width="11.42578125" style="140"/>
    <col min="5377" max="5377" width="14.140625" style="140" customWidth="1"/>
    <col min="5378" max="5378" width="20.140625" style="140" customWidth="1"/>
    <col min="5379" max="5632" width="11.42578125" style="140"/>
    <col min="5633" max="5633" width="14.140625" style="140" customWidth="1"/>
    <col min="5634" max="5634" width="20.140625" style="140" customWidth="1"/>
    <col min="5635" max="5888" width="11.42578125" style="140"/>
    <col min="5889" max="5889" width="14.140625" style="140" customWidth="1"/>
    <col min="5890" max="5890" width="20.140625" style="140" customWidth="1"/>
    <col min="5891" max="6144" width="11.42578125" style="140"/>
    <col min="6145" max="6145" width="14.140625" style="140" customWidth="1"/>
    <col min="6146" max="6146" width="20.140625" style="140" customWidth="1"/>
    <col min="6147" max="6400" width="11.42578125" style="140"/>
    <col min="6401" max="6401" width="14.140625" style="140" customWidth="1"/>
    <col min="6402" max="6402" width="20.140625" style="140" customWidth="1"/>
    <col min="6403" max="6656" width="11.42578125" style="140"/>
    <col min="6657" max="6657" width="14.140625" style="140" customWidth="1"/>
    <col min="6658" max="6658" width="20.140625" style="140" customWidth="1"/>
    <col min="6659" max="6912" width="11.42578125" style="140"/>
    <col min="6913" max="6913" width="14.140625" style="140" customWidth="1"/>
    <col min="6914" max="6914" width="20.140625" style="140" customWidth="1"/>
    <col min="6915" max="7168" width="11.42578125" style="140"/>
    <col min="7169" max="7169" width="14.140625" style="140" customWidth="1"/>
    <col min="7170" max="7170" width="20.140625" style="140" customWidth="1"/>
    <col min="7171" max="7424" width="11.42578125" style="140"/>
    <col min="7425" max="7425" width="14.140625" style="140" customWidth="1"/>
    <col min="7426" max="7426" width="20.140625" style="140" customWidth="1"/>
    <col min="7427" max="7680" width="11.42578125" style="140"/>
    <col min="7681" max="7681" width="14.140625" style="140" customWidth="1"/>
    <col min="7682" max="7682" width="20.140625" style="140" customWidth="1"/>
    <col min="7683" max="7936" width="11.42578125" style="140"/>
    <col min="7937" max="7937" width="14.140625" style="140" customWidth="1"/>
    <col min="7938" max="7938" width="20.140625" style="140" customWidth="1"/>
    <col min="7939" max="8192" width="11.42578125" style="140"/>
    <col min="8193" max="8193" width="14.140625" style="140" customWidth="1"/>
    <col min="8194" max="8194" width="20.140625" style="140" customWidth="1"/>
    <col min="8195" max="8448" width="11.42578125" style="140"/>
    <col min="8449" max="8449" width="14.140625" style="140" customWidth="1"/>
    <col min="8450" max="8450" width="20.140625" style="140" customWidth="1"/>
    <col min="8451" max="8704" width="11.42578125" style="140"/>
    <col min="8705" max="8705" width="14.140625" style="140" customWidth="1"/>
    <col min="8706" max="8706" width="20.140625" style="140" customWidth="1"/>
    <col min="8707" max="8960" width="11.42578125" style="140"/>
    <col min="8961" max="8961" width="14.140625" style="140" customWidth="1"/>
    <col min="8962" max="8962" width="20.140625" style="140" customWidth="1"/>
    <col min="8963" max="9216" width="11.42578125" style="140"/>
    <col min="9217" max="9217" width="14.140625" style="140" customWidth="1"/>
    <col min="9218" max="9218" width="20.140625" style="140" customWidth="1"/>
    <col min="9219" max="9472" width="11.42578125" style="140"/>
    <col min="9473" max="9473" width="14.140625" style="140" customWidth="1"/>
    <col min="9474" max="9474" width="20.140625" style="140" customWidth="1"/>
    <col min="9475" max="9728" width="11.42578125" style="140"/>
    <col min="9729" max="9729" width="14.140625" style="140" customWidth="1"/>
    <col min="9730" max="9730" width="20.140625" style="140" customWidth="1"/>
    <col min="9731" max="9984" width="11.42578125" style="140"/>
    <col min="9985" max="9985" width="14.140625" style="140" customWidth="1"/>
    <col min="9986" max="9986" width="20.140625" style="140" customWidth="1"/>
    <col min="9987" max="10240" width="11.42578125" style="140"/>
    <col min="10241" max="10241" width="14.140625" style="140" customWidth="1"/>
    <col min="10242" max="10242" width="20.140625" style="140" customWidth="1"/>
    <col min="10243" max="10496" width="11.42578125" style="140"/>
    <col min="10497" max="10497" width="14.140625" style="140" customWidth="1"/>
    <col min="10498" max="10498" width="20.140625" style="140" customWidth="1"/>
    <col min="10499" max="10752" width="11.42578125" style="140"/>
    <col min="10753" max="10753" width="14.140625" style="140" customWidth="1"/>
    <col min="10754" max="10754" width="20.140625" style="140" customWidth="1"/>
    <col min="10755" max="11008" width="11.42578125" style="140"/>
    <col min="11009" max="11009" width="14.140625" style="140" customWidth="1"/>
    <col min="11010" max="11010" width="20.140625" style="140" customWidth="1"/>
    <col min="11011" max="11264" width="11.42578125" style="140"/>
    <col min="11265" max="11265" width="14.140625" style="140" customWidth="1"/>
    <col min="11266" max="11266" width="20.140625" style="140" customWidth="1"/>
    <col min="11267" max="11520" width="11.42578125" style="140"/>
    <col min="11521" max="11521" width="14.140625" style="140" customWidth="1"/>
    <col min="11522" max="11522" width="20.140625" style="140" customWidth="1"/>
    <col min="11523" max="11776" width="11.42578125" style="140"/>
    <col min="11777" max="11777" width="14.140625" style="140" customWidth="1"/>
    <col min="11778" max="11778" width="20.140625" style="140" customWidth="1"/>
    <col min="11779" max="12032" width="11.42578125" style="140"/>
    <col min="12033" max="12033" width="14.140625" style="140" customWidth="1"/>
    <col min="12034" max="12034" width="20.140625" style="140" customWidth="1"/>
    <col min="12035" max="12288" width="11.42578125" style="140"/>
    <col min="12289" max="12289" width="14.140625" style="140" customWidth="1"/>
    <col min="12290" max="12290" width="20.140625" style="140" customWidth="1"/>
    <col min="12291" max="12544" width="11.42578125" style="140"/>
    <col min="12545" max="12545" width="14.140625" style="140" customWidth="1"/>
    <col min="12546" max="12546" width="20.140625" style="140" customWidth="1"/>
    <col min="12547" max="12800" width="11.42578125" style="140"/>
    <col min="12801" max="12801" width="14.140625" style="140" customWidth="1"/>
    <col min="12802" max="12802" width="20.140625" style="140" customWidth="1"/>
    <col min="12803" max="13056" width="11.42578125" style="140"/>
    <col min="13057" max="13057" width="14.140625" style="140" customWidth="1"/>
    <col min="13058" max="13058" width="20.140625" style="140" customWidth="1"/>
    <col min="13059" max="13312" width="11.42578125" style="140"/>
    <col min="13313" max="13313" width="14.140625" style="140" customWidth="1"/>
    <col min="13314" max="13314" width="20.140625" style="140" customWidth="1"/>
    <col min="13315" max="13568" width="11.42578125" style="140"/>
    <col min="13569" max="13569" width="14.140625" style="140" customWidth="1"/>
    <col min="13570" max="13570" width="20.140625" style="140" customWidth="1"/>
    <col min="13571" max="13824" width="11.42578125" style="140"/>
    <col min="13825" max="13825" width="14.140625" style="140" customWidth="1"/>
    <col min="13826" max="13826" width="20.140625" style="140" customWidth="1"/>
    <col min="13827" max="14080" width="11.42578125" style="140"/>
    <col min="14081" max="14081" width="14.140625" style="140" customWidth="1"/>
    <col min="14082" max="14082" width="20.140625" style="140" customWidth="1"/>
    <col min="14083" max="14336" width="11.42578125" style="140"/>
    <col min="14337" max="14337" width="14.140625" style="140" customWidth="1"/>
    <col min="14338" max="14338" width="20.140625" style="140" customWidth="1"/>
    <col min="14339" max="14592" width="11.42578125" style="140"/>
    <col min="14593" max="14593" width="14.140625" style="140" customWidth="1"/>
    <col min="14594" max="14594" width="20.140625" style="140" customWidth="1"/>
    <col min="14595" max="14848" width="11.42578125" style="140"/>
    <col min="14849" max="14849" width="14.140625" style="140" customWidth="1"/>
    <col min="14850" max="14850" width="20.140625" style="140" customWidth="1"/>
    <col min="14851" max="15104" width="11.42578125" style="140"/>
    <col min="15105" max="15105" width="14.140625" style="140" customWidth="1"/>
    <col min="15106" max="15106" width="20.140625" style="140" customWidth="1"/>
    <col min="15107" max="15360" width="11.42578125" style="140"/>
    <col min="15361" max="15361" width="14.140625" style="140" customWidth="1"/>
    <col min="15362" max="15362" width="20.140625" style="140" customWidth="1"/>
    <col min="15363" max="15616" width="11.42578125" style="140"/>
    <col min="15617" max="15617" width="14.140625" style="140" customWidth="1"/>
    <col min="15618" max="15618" width="20.140625" style="140" customWidth="1"/>
    <col min="15619" max="15872" width="11.42578125" style="140"/>
    <col min="15873" max="15873" width="14.140625" style="140" customWidth="1"/>
    <col min="15874" max="15874" width="20.140625" style="140" customWidth="1"/>
    <col min="15875" max="16128" width="11.42578125" style="140"/>
    <col min="16129" max="16129" width="14.140625" style="140" customWidth="1"/>
    <col min="16130" max="16130" width="20.140625" style="140" customWidth="1"/>
    <col min="16131" max="16384" width="11.42578125" style="140"/>
  </cols>
  <sheetData>
    <row r="2" spans="1:10" ht="21">
      <c r="A2" s="169" t="s">
        <v>578</v>
      </c>
    </row>
    <row r="4" spans="1:10" s="139" customFormat="1" ht="18.75">
      <c r="A4" s="138" t="s">
        <v>283</v>
      </c>
      <c r="B4" s="138"/>
      <c r="C4" s="138"/>
      <c r="D4" s="138"/>
      <c r="E4" s="138"/>
      <c r="F4" s="138"/>
      <c r="G4" s="138"/>
    </row>
    <row r="5" spans="1:10">
      <c r="A5" s="140" t="s">
        <v>284</v>
      </c>
      <c r="C5" s="141" t="s">
        <v>285</v>
      </c>
      <c r="F5" s="140" t="s">
        <v>286</v>
      </c>
    </row>
    <row r="6" spans="1:10">
      <c r="A6" s="140" t="s">
        <v>287</v>
      </c>
      <c r="C6" s="141">
        <v>1929</v>
      </c>
      <c r="F6" s="140" t="s">
        <v>288</v>
      </c>
    </row>
    <row r="7" spans="1:10">
      <c r="E7" s="142"/>
    </row>
    <row r="8" spans="1:10">
      <c r="A8" s="140" t="s">
        <v>289</v>
      </c>
      <c r="E8" s="143">
        <f>IF(C6=1928,100,VLOOKUP(C6-1,A15:G97,5))</f>
        <v>143.81115515288789</v>
      </c>
    </row>
    <row r="9" spans="1:10">
      <c r="A9" s="140" t="s">
        <v>290</v>
      </c>
      <c r="E9" s="143">
        <f>IF(C6=1928,100,VLOOKUP(C6-1,A15:G97,6))</f>
        <v>103.08</v>
      </c>
    </row>
    <row r="10" spans="1:10">
      <c r="A10" s="140" t="s">
        <v>291</v>
      </c>
      <c r="E10" s="143">
        <f>IF(C6=1928,100,VLOOKUP(C6-1,A14:G97,7))</f>
        <v>100.83547085897993</v>
      </c>
    </row>
    <row r="11" spans="1:10" ht="16.5" thickBot="1">
      <c r="A11" s="140" t="s">
        <v>292</v>
      </c>
      <c r="E11" s="144">
        <f>IF(C5="ST",(E97/E8)^(1/(A97-C6+1))-(F97/E9)^(1/(A97-C6+1)),(E97/E8)^(1/(A97-C6+1))-(G97/E10)^(1/(A97-C6+1)))</f>
        <v>3.8936671207418838E-2</v>
      </c>
    </row>
    <row r="12" spans="1:10" ht="16.5" thickBot="1"/>
    <row r="13" spans="1:10" ht="16.5" thickBot="1">
      <c r="B13" s="145" t="s">
        <v>293</v>
      </c>
      <c r="C13" s="146"/>
      <c r="D13" s="147"/>
      <c r="E13" s="145" t="s">
        <v>294</v>
      </c>
      <c r="F13" s="146"/>
      <c r="G13" s="147"/>
    </row>
    <row r="14" spans="1:10">
      <c r="A14" s="148" t="s">
        <v>295</v>
      </c>
      <c r="B14" s="148" t="s">
        <v>296</v>
      </c>
      <c r="C14" s="148" t="s">
        <v>297</v>
      </c>
      <c r="D14" s="148" t="s">
        <v>298</v>
      </c>
      <c r="E14" s="149" t="s">
        <v>299</v>
      </c>
      <c r="F14" s="149" t="s">
        <v>297</v>
      </c>
      <c r="G14" s="149" t="s">
        <v>298</v>
      </c>
      <c r="H14" s="140" t="s">
        <v>300</v>
      </c>
      <c r="I14" s="140" t="s">
        <v>301</v>
      </c>
      <c r="J14" s="140" t="s">
        <v>302</v>
      </c>
    </row>
    <row r="15" spans="1:10">
      <c r="A15" s="150">
        <v>1928</v>
      </c>
      <c r="B15" s="151">
        <f>('[2]S&amp;P 500 &amp; Raw Data'!B4-'[2]S&amp;P 500 &amp; Raw Data'!B3+'[2]S&amp;P 500 &amp; Raw Data'!C4)/'[2]S&amp;P 500 &amp; Raw Data'!B3</f>
        <v>0.43811155152887893</v>
      </c>
      <c r="C15" s="151">
        <v>3.0800000000000001E-2</v>
      </c>
      <c r="D15" s="151">
        <f>'[2]S&amp;P 500 &amp; Raw Data'!F4</f>
        <v>8.354708589799302E-3</v>
      </c>
      <c r="E15" s="152">
        <f>100*(1+B15)</f>
        <v>143.81115515288789</v>
      </c>
      <c r="F15" s="152">
        <f>100*(1+C15)</f>
        <v>103.08</v>
      </c>
      <c r="G15" s="152">
        <f>100*(1+D15)</f>
        <v>100.83547085897993</v>
      </c>
      <c r="H15" s="153">
        <f t="shared" ref="H15:H78" si="0">B15-C15</f>
        <v>0.40731155152887893</v>
      </c>
      <c r="I15" s="154">
        <f t="shared" ref="I15:I78" si="1">B15-D15</f>
        <v>0.42975684293907962</v>
      </c>
    </row>
    <row r="16" spans="1:10">
      <c r="A16" s="150">
        <v>1929</v>
      </c>
      <c r="B16" s="151">
        <f>('[2]S&amp;P 500 &amp; Raw Data'!B5-'[2]S&amp;P 500 &amp; Raw Data'!B4+'[2]S&amp;P 500 &amp; Raw Data'!C5)/'[2]S&amp;P 500 &amp; Raw Data'!B4</f>
        <v>-8.2979466119096595E-2</v>
      </c>
      <c r="C16" s="151">
        <v>3.1600000000000003E-2</v>
      </c>
      <c r="D16" s="151">
        <f>'[2]S&amp;P 500 &amp; Raw Data'!F5</f>
        <v>4.2038041563204259E-2</v>
      </c>
      <c r="E16" s="152">
        <f t="shared" ref="E16:G31" si="2">E15*(1+B16)</f>
        <v>131.87778227633069</v>
      </c>
      <c r="F16" s="152">
        <f t="shared" si="2"/>
        <v>106.337328</v>
      </c>
      <c r="G16" s="152">
        <f t="shared" si="2"/>
        <v>105.074396573995</v>
      </c>
      <c r="H16" s="153">
        <f t="shared" si="0"/>
        <v>-0.1145794661190966</v>
      </c>
      <c r="I16" s="154">
        <f t="shared" si="1"/>
        <v>-0.12501750768230085</v>
      </c>
    </row>
    <row r="17" spans="1:9">
      <c r="A17" s="150">
        <v>1930</v>
      </c>
      <c r="B17" s="151">
        <f>('[2]S&amp;P 500 &amp; Raw Data'!B6-'[2]S&amp;P 500 &amp; Raw Data'!B5+'[2]S&amp;P 500 &amp; Raw Data'!C6)/'[2]S&amp;P 500 &amp; Raw Data'!B5</f>
        <v>-0.25123636363636365</v>
      </c>
      <c r="C17" s="151">
        <v>4.5499999999999999E-2</v>
      </c>
      <c r="D17" s="151">
        <f>'[2]S&amp;P 500 &amp; Raw Data'!F6</f>
        <v>4.5409314348970366E-2</v>
      </c>
      <c r="E17" s="152">
        <f t="shared" si="2"/>
        <v>98.745287812797272</v>
      </c>
      <c r="F17" s="152">
        <f t="shared" si="2"/>
        <v>111.17567642400002</v>
      </c>
      <c r="G17" s="152">
        <f t="shared" si="2"/>
        <v>109.84575287805193</v>
      </c>
      <c r="H17" s="153">
        <f t="shared" si="0"/>
        <v>-0.29673636363636363</v>
      </c>
      <c r="I17" s="154">
        <f t="shared" si="1"/>
        <v>-0.29664567798533403</v>
      </c>
    </row>
    <row r="18" spans="1:9">
      <c r="A18" s="150">
        <v>1931</v>
      </c>
      <c r="B18" s="151">
        <f>('[2]S&amp;P 500 &amp; Raw Data'!B7-'[2]S&amp;P 500 &amp; Raw Data'!B6+'[2]S&amp;P 500 &amp; Raw Data'!C7)/'[2]S&amp;P 500 &amp; Raw Data'!B6</f>
        <v>-0.43837548891786188</v>
      </c>
      <c r="C18" s="151">
        <v>2.3099999999999999E-2</v>
      </c>
      <c r="D18" s="151">
        <f>'[2]S&amp;P 500 &amp; Raw Data'!F7</f>
        <v>-2.5588559619422531E-2</v>
      </c>
      <c r="E18" s="152">
        <f t="shared" si="2"/>
        <v>55.457773989527276</v>
      </c>
      <c r="F18" s="152">
        <f t="shared" si="2"/>
        <v>113.74383454939441</v>
      </c>
      <c r="G18" s="152">
        <f t="shared" si="2"/>
        <v>107.03495828159154</v>
      </c>
      <c r="H18" s="153">
        <f t="shared" si="0"/>
        <v>-0.46147548891786189</v>
      </c>
      <c r="I18" s="154">
        <f t="shared" si="1"/>
        <v>-0.41278692929843935</v>
      </c>
    </row>
    <row r="19" spans="1:9">
      <c r="A19" s="150">
        <v>1932</v>
      </c>
      <c r="B19" s="151">
        <f>('[2]S&amp;P 500 &amp; Raw Data'!B8-'[2]S&amp;P 500 &amp; Raw Data'!B7+'[2]S&amp;P 500 &amp; Raw Data'!C8)/'[2]S&amp;P 500 &amp; Raw Data'!B7</f>
        <v>-8.642364532019696E-2</v>
      </c>
      <c r="C19" s="151">
        <v>1.0699999999999999E-2</v>
      </c>
      <c r="D19" s="151">
        <f>'[2]S&amp;P 500 &amp; Raw Data'!F8</f>
        <v>8.7903069904773257E-2</v>
      </c>
      <c r="E19" s="152">
        <f t="shared" si="2"/>
        <v>50.664911000008722</v>
      </c>
      <c r="F19" s="152">
        <f t="shared" si="2"/>
        <v>114.96089357907292</v>
      </c>
      <c r="G19" s="152">
        <f t="shared" si="2"/>
        <v>116.44365970167279</v>
      </c>
      <c r="H19" s="153">
        <f t="shared" si="0"/>
        <v>-9.7123645320196961E-2</v>
      </c>
      <c r="I19" s="154">
        <f t="shared" si="1"/>
        <v>-0.17432671522497023</v>
      </c>
    </row>
    <row r="20" spans="1:9">
      <c r="A20" s="150">
        <v>1933</v>
      </c>
      <c r="B20" s="151">
        <f>('[2]S&amp;P 500 &amp; Raw Data'!B9-'[2]S&amp;P 500 &amp; Raw Data'!B8+'[2]S&amp;P 500 &amp; Raw Data'!C9)/'[2]S&amp;P 500 &amp; Raw Data'!B8</f>
        <v>0.49982225433526023</v>
      </c>
      <c r="C20" s="151">
        <v>9.5999999999999992E-3</v>
      </c>
      <c r="D20" s="151">
        <f>'[2]S&amp;P 500 &amp; Raw Data'!F9</f>
        <v>1.8552720891857361E-2</v>
      </c>
      <c r="E20" s="152">
        <f t="shared" si="2"/>
        <v>75.988361031728402</v>
      </c>
      <c r="F20" s="152">
        <f t="shared" si="2"/>
        <v>116.06451815743202</v>
      </c>
      <c r="G20" s="152">
        <f t="shared" si="2"/>
        <v>118.60400641974435</v>
      </c>
      <c r="H20" s="153">
        <f t="shared" si="0"/>
        <v>0.49022225433526023</v>
      </c>
      <c r="I20" s="154">
        <f t="shared" si="1"/>
        <v>0.48126953344340284</v>
      </c>
    </row>
    <row r="21" spans="1:9">
      <c r="A21" s="150">
        <v>1934</v>
      </c>
      <c r="B21" s="151">
        <f>('[2]S&amp;P 500 &amp; Raw Data'!B10-'[2]S&amp;P 500 &amp; Raw Data'!B9+'[2]S&amp;P 500 &amp; Raw Data'!C10)/'[2]S&amp;P 500 &amp; Raw Data'!B9</f>
        <v>-1.1885656970912803E-2</v>
      </c>
      <c r="C21" s="151">
        <f>'[2]T. Bill rates'!G13</f>
        <v>3.225E-3</v>
      </c>
      <c r="D21" s="151">
        <f>'[2]S&amp;P 500 &amp; Raw Data'!F10</f>
        <v>7.9634426179656104E-2</v>
      </c>
      <c r="E21" s="152">
        <f t="shared" si="2"/>
        <v>75.085189438723404</v>
      </c>
      <c r="F21" s="152">
        <f t="shared" si="2"/>
        <v>116.43882622848975</v>
      </c>
      <c r="G21" s="152">
        <f t="shared" si="2"/>
        <v>128.04896841358894</v>
      </c>
      <c r="H21" s="153">
        <f t="shared" si="0"/>
        <v>-1.5110656970912803E-2</v>
      </c>
      <c r="I21" s="154">
        <f t="shared" si="1"/>
        <v>-9.1520083150568907E-2</v>
      </c>
    </row>
    <row r="22" spans="1:9">
      <c r="A22" s="150">
        <v>1935</v>
      </c>
      <c r="B22" s="151">
        <f>('[2]S&amp;P 500 &amp; Raw Data'!B11-'[2]S&amp;P 500 &amp; Raw Data'!B10+'[2]S&amp;P 500 &amp; Raw Data'!C11)/'[2]S&amp;P 500 &amp; Raw Data'!B10</f>
        <v>0.46740421052631581</v>
      </c>
      <c r="C22" s="151">
        <f>'[2]T. Bill rates'!G14</f>
        <v>1.7499999999999998E-3</v>
      </c>
      <c r="D22" s="151">
        <f>'[2]S&amp;P 500 &amp; Raw Data'!F11</f>
        <v>4.4720477296566127E-2</v>
      </c>
      <c r="E22" s="152">
        <f t="shared" si="2"/>
        <v>110.18032313054879</v>
      </c>
      <c r="F22" s="152">
        <f t="shared" si="2"/>
        <v>116.64259417438959</v>
      </c>
      <c r="G22" s="152">
        <f t="shared" si="2"/>
        <v>133.77537939837757</v>
      </c>
      <c r="H22" s="153">
        <f t="shared" si="0"/>
        <v>0.46565421052631584</v>
      </c>
      <c r="I22" s="154">
        <f t="shared" si="1"/>
        <v>0.42268373322974967</v>
      </c>
    </row>
    <row r="23" spans="1:9">
      <c r="A23" s="150">
        <v>1936</v>
      </c>
      <c r="B23" s="151">
        <f>('[2]S&amp;P 500 &amp; Raw Data'!B12-'[2]S&amp;P 500 &amp; Raw Data'!B11+'[2]S&amp;P 500 &amp; Raw Data'!C12)/'[2]S&amp;P 500 &amp; Raw Data'!B11</f>
        <v>0.31943410275502609</v>
      </c>
      <c r="C23" s="151">
        <f>'[2]T. Bill rates'!G15</f>
        <v>1.7000000000000001E-3</v>
      </c>
      <c r="D23" s="151">
        <f>'[2]S&amp;P 500 &amp; Raw Data'!F12</f>
        <v>5.0178754045450601E-2</v>
      </c>
      <c r="E23" s="152">
        <f t="shared" si="2"/>
        <v>145.37567579101449</v>
      </c>
      <c r="F23" s="152">
        <f t="shared" si="2"/>
        <v>116.84088658448606</v>
      </c>
      <c r="G23" s="152">
        <f t="shared" si="2"/>
        <v>140.4880612585456</v>
      </c>
      <c r="H23" s="153">
        <f t="shared" si="0"/>
        <v>0.31773410275502612</v>
      </c>
      <c r="I23" s="154">
        <f t="shared" si="1"/>
        <v>0.26925534870957551</v>
      </c>
    </row>
    <row r="24" spans="1:9">
      <c r="A24" s="150">
        <v>1937</v>
      </c>
      <c r="B24" s="151">
        <f>('[2]S&amp;P 500 &amp; Raw Data'!B13-'[2]S&amp;P 500 &amp; Raw Data'!B12+'[2]S&amp;P 500 &amp; Raw Data'!C13)/'[2]S&amp;P 500 &amp; Raw Data'!B12</f>
        <v>-0.35336728754365537</v>
      </c>
      <c r="C24" s="151">
        <f>'[2]T. Bill rates'!G16</f>
        <v>3.0250000000000003E-3</v>
      </c>
      <c r="D24" s="151">
        <f>'[2]S&amp;P 500 &amp; Raw Data'!F13</f>
        <v>1.379146059646038E-2</v>
      </c>
      <c r="E24" s="152">
        <f t="shared" si="2"/>
        <v>94.004667561917856</v>
      </c>
      <c r="F24" s="152">
        <f t="shared" si="2"/>
        <v>117.19433026640414</v>
      </c>
      <c r="G24" s="152">
        <f t="shared" si="2"/>
        <v>142.42559681966594</v>
      </c>
      <c r="H24" s="153">
        <f t="shared" si="0"/>
        <v>-0.35639228754365537</v>
      </c>
      <c r="I24" s="154">
        <f t="shared" si="1"/>
        <v>-0.36715874814011573</v>
      </c>
    </row>
    <row r="25" spans="1:9">
      <c r="A25" s="150">
        <v>1938</v>
      </c>
      <c r="B25" s="151">
        <f>('[2]S&amp;P 500 &amp; Raw Data'!B14-'[2]S&amp;P 500 &amp; Raw Data'!B13+'[2]S&amp;P 500 &amp; Raw Data'!C14)/'[2]S&amp;P 500 &amp; Raw Data'!B13</f>
        <v>0.29282654028436017</v>
      </c>
      <c r="C25" s="151">
        <f>'[2]T. Bill rates'!G17</f>
        <v>7.7499999999999997E-4</v>
      </c>
      <c r="D25" s="151">
        <f>'[2]S&amp;P 500 &amp; Raw Data'!F14</f>
        <v>4.2132485322046068E-2</v>
      </c>
      <c r="E25" s="152">
        <f t="shared" si="2"/>
        <v>121.53172913465568</v>
      </c>
      <c r="F25" s="152">
        <f t="shared" si="2"/>
        <v>117.28515587236059</v>
      </c>
      <c r="G25" s="152">
        <f t="shared" si="2"/>
        <v>148.42634118715418</v>
      </c>
      <c r="H25" s="153">
        <f t="shared" si="0"/>
        <v>0.29205154028436014</v>
      </c>
      <c r="I25" s="154">
        <f t="shared" si="1"/>
        <v>0.25069405496231412</v>
      </c>
    </row>
    <row r="26" spans="1:9">
      <c r="A26" s="150">
        <v>1939</v>
      </c>
      <c r="B26" s="151">
        <f>('[2]S&amp;P 500 &amp; Raw Data'!B15-'[2]S&amp;P 500 &amp; Raw Data'!B14+'[2]S&amp;P 500 &amp; Raw Data'!C15)/'[2]S&amp;P 500 &amp; Raw Data'!B14</f>
        <v>-1.0975646879756443E-2</v>
      </c>
      <c r="C26" s="151">
        <f>'[2]T. Bill rates'!G18</f>
        <v>3.7500000000000006E-4</v>
      </c>
      <c r="D26" s="151">
        <f>'[2]S&amp;P 500 &amp; Raw Data'!F15</f>
        <v>4.4122613942060671E-2</v>
      </c>
      <c r="E26" s="152">
        <f t="shared" si="2"/>
        <v>120.19783979098749</v>
      </c>
      <c r="F26" s="152">
        <f t="shared" si="2"/>
        <v>117.32913780581272</v>
      </c>
      <c r="G26" s="152">
        <f t="shared" si="2"/>
        <v>154.97529933818757</v>
      </c>
      <c r="H26" s="153">
        <f t="shared" si="0"/>
        <v>-1.1350646879756444E-2</v>
      </c>
      <c r="I26" s="154">
        <f t="shared" si="1"/>
        <v>-5.509826082181711E-2</v>
      </c>
    </row>
    <row r="27" spans="1:9">
      <c r="A27" s="150">
        <v>1940</v>
      </c>
      <c r="B27" s="151">
        <f>('[2]S&amp;P 500 &amp; Raw Data'!B16-'[2]S&amp;P 500 &amp; Raw Data'!B15+'[2]S&amp;P 500 &amp; Raw Data'!C16)/'[2]S&amp;P 500 &amp; Raw Data'!B15</f>
        <v>-0.10672873194221515</v>
      </c>
      <c r="C27" s="151">
        <f>'[2]T. Bill rates'!G19</f>
        <v>2.5000000000000001E-4</v>
      </c>
      <c r="D27" s="151">
        <f>'[2]S&amp;P 500 &amp; Raw Data'!F16</f>
        <v>5.4024815962845509E-2</v>
      </c>
      <c r="E27" s="152">
        <f t="shared" si="2"/>
        <v>107.36927676790187</v>
      </c>
      <c r="F27" s="152">
        <f t="shared" si="2"/>
        <v>117.35847009026418</v>
      </c>
      <c r="G27" s="152">
        <f t="shared" si="2"/>
        <v>163.34781136372007</v>
      </c>
      <c r="H27" s="153">
        <f t="shared" si="0"/>
        <v>-0.10697873194221515</v>
      </c>
      <c r="I27" s="154">
        <f t="shared" si="1"/>
        <v>-0.16075354790506066</v>
      </c>
    </row>
    <row r="28" spans="1:9">
      <c r="A28" s="150">
        <v>1941</v>
      </c>
      <c r="B28" s="151">
        <f>('[2]S&amp;P 500 &amp; Raw Data'!B17-'[2]S&amp;P 500 &amp; Raw Data'!B16+'[2]S&amp;P 500 &amp; Raw Data'!C17)/'[2]S&amp;P 500 &amp; Raw Data'!B16</f>
        <v>-0.12771455576559551</v>
      </c>
      <c r="C28" s="151">
        <f>'[2]T. Bill rates'!G20</f>
        <v>8.2499999999999989E-4</v>
      </c>
      <c r="D28" s="151">
        <f>'[2]S&amp;P 500 &amp; Raw Data'!F17</f>
        <v>-2.0221975848580105E-2</v>
      </c>
      <c r="E28" s="152">
        <f t="shared" si="2"/>
        <v>93.656657282615996</v>
      </c>
      <c r="F28" s="152">
        <f t="shared" si="2"/>
        <v>117.45529082808865</v>
      </c>
      <c r="G28" s="152">
        <f t="shared" si="2"/>
        <v>160.0445958674045</v>
      </c>
      <c r="H28" s="153">
        <f t="shared" si="0"/>
        <v>-0.1285395557655955</v>
      </c>
      <c r="I28" s="154">
        <f t="shared" si="1"/>
        <v>-0.10749257991701541</v>
      </c>
    </row>
    <row r="29" spans="1:9">
      <c r="A29" s="150">
        <v>1942</v>
      </c>
      <c r="B29" s="151">
        <f>('[2]S&amp;P 500 &amp; Raw Data'!B18-'[2]S&amp;P 500 &amp; Raw Data'!B17+'[2]S&amp;P 500 &amp; Raw Data'!C18)/'[2]S&amp;P 500 &amp; Raw Data'!B17</f>
        <v>0.19173762945914843</v>
      </c>
      <c r="C29" s="151">
        <f>'[2]T. Bill rates'!G21</f>
        <v>3.3750000000000004E-3</v>
      </c>
      <c r="D29" s="151">
        <f>'[2]S&amp;P 500 &amp; Raw Data'!F18</f>
        <v>2.2948682374484164E-2</v>
      </c>
      <c r="E29" s="152">
        <f t="shared" si="2"/>
        <v>111.61416273305268</v>
      </c>
      <c r="F29" s="152">
        <f t="shared" si="2"/>
        <v>117.85170243463344</v>
      </c>
      <c r="G29" s="152">
        <f t="shared" si="2"/>
        <v>163.71740846371824</v>
      </c>
      <c r="H29" s="153">
        <f t="shared" si="0"/>
        <v>0.18836262945914845</v>
      </c>
      <c r="I29" s="154">
        <f t="shared" si="1"/>
        <v>0.16878894708466427</v>
      </c>
    </row>
    <row r="30" spans="1:9">
      <c r="A30" s="150">
        <v>1943</v>
      </c>
      <c r="B30" s="151">
        <f>('[2]S&amp;P 500 &amp; Raw Data'!B19-'[2]S&amp;P 500 &amp; Raw Data'!B18+'[2]S&amp;P 500 &amp; Raw Data'!C19)/'[2]S&amp;P 500 &amp; Raw Data'!B18</f>
        <v>0.25061310133060394</v>
      </c>
      <c r="C30" s="151">
        <f>'[2]T. Bill rates'!G22</f>
        <v>3.8E-3</v>
      </c>
      <c r="D30" s="151">
        <f>'[2]S&amp;P 500 &amp; Raw Data'!F19</f>
        <v>2.4899999999999999E-2</v>
      </c>
      <c r="E30" s="152">
        <f t="shared" si="2"/>
        <v>139.58613420800171</v>
      </c>
      <c r="F30" s="152">
        <f t="shared" si="2"/>
        <v>118.29953890388505</v>
      </c>
      <c r="G30" s="152">
        <f t="shared" si="2"/>
        <v>167.79397193446482</v>
      </c>
      <c r="H30" s="153">
        <f t="shared" si="0"/>
        <v>0.24681310133060394</v>
      </c>
      <c r="I30" s="154">
        <f t="shared" si="1"/>
        <v>0.22571310133060393</v>
      </c>
    </row>
    <row r="31" spans="1:9">
      <c r="A31" s="150">
        <v>1944</v>
      </c>
      <c r="B31" s="151">
        <f>('[2]S&amp;P 500 &amp; Raw Data'!B20-'[2]S&amp;P 500 &amp; Raw Data'!B19+'[2]S&amp;P 500 &amp; Raw Data'!C20)/'[2]S&amp;P 500 &amp; Raw Data'!B19</f>
        <v>0.19030676949443009</v>
      </c>
      <c r="C31" s="151">
        <f>'[2]T. Bill rates'!G23</f>
        <v>3.8E-3</v>
      </c>
      <c r="D31" s="151">
        <f>'[2]S&amp;P 500 &amp; Raw Data'!F20</f>
        <v>2.5776111579070303E-2</v>
      </c>
      <c r="E31" s="152">
        <f t="shared" si="2"/>
        <v>166.15032047534245</v>
      </c>
      <c r="F31" s="152">
        <f t="shared" si="2"/>
        <v>118.74907715171982</v>
      </c>
      <c r="G31" s="152">
        <f t="shared" si="2"/>
        <v>172.11904807734297</v>
      </c>
      <c r="H31" s="153">
        <f t="shared" si="0"/>
        <v>0.1865067694944301</v>
      </c>
      <c r="I31" s="154">
        <f t="shared" si="1"/>
        <v>0.16453065791535978</v>
      </c>
    </row>
    <row r="32" spans="1:9">
      <c r="A32" s="150">
        <v>1945</v>
      </c>
      <c r="B32" s="151">
        <f>('[2]S&amp;P 500 &amp; Raw Data'!B21-'[2]S&amp;P 500 &amp; Raw Data'!B20+'[2]S&amp;P 500 &amp; Raw Data'!C21)/'[2]S&amp;P 500 &amp; Raw Data'!B20</f>
        <v>0.35821084337349401</v>
      </c>
      <c r="C32" s="151">
        <f>'[2]T. Bill rates'!G24</f>
        <v>3.8E-3</v>
      </c>
      <c r="D32" s="151">
        <f>'[2]S&amp;P 500 &amp; Raw Data'!F21</f>
        <v>3.8044173419237229E-2</v>
      </c>
      <c r="E32" s="152">
        <f t="shared" ref="E32:G47" si="3">E31*(1+B32)</f>
        <v>225.66716689959119</v>
      </c>
      <c r="F32" s="152">
        <f t="shared" si="3"/>
        <v>119.20032364489636</v>
      </c>
      <c r="G32" s="152">
        <f t="shared" si="3"/>
        <v>178.66717499115143</v>
      </c>
      <c r="H32" s="153">
        <f t="shared" si="0"/>
        <v>0.35441084337349399</v>
      </c>
      <c r="I32" s="154">
        <f t="shared" si="1"/>
        <v>0.3201666699542568</v>
      </c>
    </row>
    <row r="33" spans="1:10">
      <c r="A33" s="150">
        <v>1946</v>
      </c>
      <c r="B33" s="151">
        <f>('[2]S&amp;P 500 &amp; Raw Data'!B22-'[2]S&amp;P 500 &amp; Raw Data'!B21+'[2]S&amp;P 500 &amp; Raw Data'!C22)/'[2]S&amp;P 500 &amp; Raw Data'!B21</f>
        <v>-8.4291474654377807E-2</v>
      </c>
      <c r="C33" s="151">
        <f>'[2]T. Bill rates'!G25</f>
        <v>3.8E-3</v>
      </c>
      <c r="D33" s="151">
        <f>'[2]S&amp;P 500 &amp; Raw Data'!F22</f>
        <v>3.1283745375695685E-2</v>
      </c>
      <c r="E33" s="152">
        <f t="shared" si="3"/>
        <v>206.64534862054904</v>
      </c>
      <c r="F33" s="152">
        <f t="shared" si="3"/>
        <v>119.65328487474697</v>
      </c>
      <c r="G33" s="152">
        <f t="shared" si="3"/>
        <v>184.25655340056949</v>
      </c>
      <c r="H33" s="153">
        <f t="shared" si="0"/>
        <v>-8.8091474654377805E-2</v>
      </c>
      <c r="I33" s="154">
        <f t="shared" si="1"/>
        <v>-0.11557522003007349</v>
      </c>
    </row>
    <row r="34" spans="1:10">
      <c r="A34" s="150">
        <v>1947</v>
      </c>
      <c r="B34" s="151">
        <f>('[2]S&amp;P 500 &amp; Raw Data'!B23-'[2]S&amp;P 500 &amp; Raw Data'!B22+'[2]S&amp;P 500 &amp; Raw Data'!C23)/'[2]S&amp;P 500 &amp; Raw Data'!B22</f>
        <v>5.1999999999999998E-2</v>
      </c>
      <c r="C34" s="151">
        <f>'[2]T. Bill rates'!G26</f>
        <v>5.6750000000000004E-3</v>
      </c>
      <c r="D34" s="151">
        <f>'[2]S&amp;P 500 &amp; Raw Data'!F23</f>
        <v>9.1969680628322358E-3</v>
      </c>
      <c r="E34" s="152">
        <f t="shared" si="3"/>
        <v>217.3909067488176</v>
      </c>
      <c r="F34" s="152">
        <f t="shared" si="3"/>
        <v>120.33231726641117</v>
      </c>
      <c r="G34" s="152">
        <f t="shared" si="3"/>
        <v>185.95115503756207</v>
      </c>
      <c r="H34" s="153">
        <f t="shared" si="0"/>
        <v>4.6324999999999998E-2</v>
      </c>
      <c r="I34" s="154">
        <f t="shared" si="1"/>
        <v>4.2803031937167765E-2</v>
      </c>
    </row>
    <row r="35" spans="1:10">
      <c r="A35" s="150">
        <v>1948</v>
      </c>
      <c r="B35" s="151">
        <f>('[2]S&amp;P 500 &amp; Raw Data'!B24-'[2]S&amp;P 500 &amp; Raw Data'!B23+'[2]S&amp;P 500 &amp; Raw Data'!C24)/'[2]S&amp;P 500 &amp; Raw Data'!B23</f>
        <v>5.7045751633986834E-2</v>
      </c>
      <c r="C35" s="151">
        <f>'[2]T. Bill rates'!G27</f>
        <v>1.0225E-2</v>
      </c>
      <c r="D35" s="151">
        <f>'[2]S&amp;P 500 &amp; Raw Data'!F24</f>
        <v>1.9510369413175046E-2</v>
      </c>
      <c r="E35" s="152">
        <f t="shared" si="3"/>
        <v>229.79213442269784</v>
      </c>
      <c r="F35" s="152">
        <f t="shared" si="3"/>
        <v>121.56271521046021</v>
      </c>
      <c r="G35" s="152">
        <f t="shared" si="3"/>
        <v>189.57913076515149</v>
      </c>
      <c r="H35" s="153">
        <f t="shared" si="0"/>
        <v>4.6820751633986836E-2</v>
      </c>
      <c r="I35" s="154">
        <f t="shared" si="1"/>
        <v>3.7535382220811792E-2</v>
      </c>
    </row>
    <row r="36" spans="1:10">
      <c r="A36" s="150">
        <v>1949</v>
      </c>
      <c r="B36" s="151">
        <f>('[2]S&amp;P 500 &amp; Raw Data'!B25-'[2]S&amp;P 500 &amp; Raw Data'!B24+'[2]S&amp;P 500 &amp; Raw Data'!C25)/'[2]S&amp;P 500 &amp; Raw Data'!B24</f>
        <v>0.18303223684210526</v>
      </c>
      <c r="C36" s="151">
        <f>'[2]T. Bill rates'!G28</f>
        <v>1.1025E-2</v>
      </c>
      <c r="D36" s="151">
        <f>'[2]S&amp;P 500 &amp; Raw Data'!F25</f>
        <v>4.6634851827973139E-2</v>
      </c>
      <c r="E36" s="152">
        <f t="shared" si="3"/>
        <v>271.85150279480598</v>
      </c>
      <c r="F36" s="152">
        <f t="shared" si="3"/>
        <v>122.90294414565554</v>
      </c>
      <c r="G36" s="152">
        <f t="shared" si="3"/>
        <v>198.42012543806027</v>
      </c>
      <c r="H36" s="153">
        <f t="shared" si="0"/>
        <v>0.17200723684210525</v>
      </c>
      <c r="I36" s="154">
        <f t="shared" si="1"/>
        <v>0.13639738501413212</v>
      </c>
    </row>
    <row r="37" spans="1:10">
      <c r="A37" s="150">
        <v>1950</v>
      </c>
      <c r="B37" s="151">
        <f>('[2]S&amp;P 500 &amp; Raw Data'!B26-'[2]S&amp;P 500 &amp; Raw Data'!B25+'[2]S&amp;P 500 &amp; Raw Data'!C26)/'[2]S&amp;P 500 &amp; Raw Data'!B25</f>
        <v>0.30805539011316263</v>
      </c>
      <c r="C37" s="151">
        <f>'[2]T. Bill rates'!G29</f>
        <v>1.1724999999999999E-2</v>
      </c>
      <c r="D37" s="151">
        <f>'[2]S&amp;P 500 &amp; Raw Data'!F26</f>
        <v>4.2959574171096103E-3</v>
      </c>
      <c r="E37" s="152">
        <f t="shared" si="3"/>
        <v>355.59682354110947</v>
      </c>
      <c r="F37" s="152">
        <f t="shared" si="3"/>
        <v>124.34398116576335</v>
      </c>
      <c r="G37" s="152">
        <f t="shared" si="3"/>
        <v>199.2725298476397</v>
      </c>
      <c r="H37" s="153">
        <f t="shared" si="0"/>
        <v>0.29633039011316264</v>
      </c>
      <c r="I37" s="154">
        <f t="shared" si="1"/>
        <v>0.30375943269605304</v>
      </c>
    </row>
    <row r="38" spans="1:10">
      <c r="A38" s="150">
        <v>1951</v>
      </c>
      <c r="B38" s="151">
        <f>('[2]S&amp;P 500 &amp; Raw Data'!B27-'[2]S&amp;P 500 &amp; Raw Data'!B26+'[2]S&amp;P 500 &amp; Raw Data'!C27)/'[2]S&amp;P 500 &amp; Raw Data'!B26</f>
        <v>0.23678463044542339</v>
      </c>
      <c r="C38" s="151">
        <f>'[2]T. Bill rates'!G30</f>
        <v>1.4775E-2</v>
      </c>
      <c r="D38" s="151">
        <f>'[2]S&amp;P 500 &amp; Raw Data'!F27</f>
        <v>-2.9531392208319886E-3</v>
      </c>
      <c r="E38" s="152">
        <f t="shared" si="3"/>
        <v>439.7966859908575</v>
      </c>
      <c r="F38" s="152">
        <f t="shared" si="3"/>
        <v>126.18116348748751</v>
      </c>
      <c r="G38" s="152">
        <f t="shared" si="3"/>
        <v>198.68405032411223</v>
      </c>
      <c r="H38" s="153">
        <f t="shared" si="0"/>
        <v>0.22200963044542338</v>
      </c>
      <c r="I38" s="154">
        <f t="shared" si="1"/>
        <v>0.23973776966625537</v>
      </c>
    </row>
    <row r="39" spans="1:10">
      <c r="A39" s="150">
        <v>1952</v>
      </c>
      <c r="B39" s="151">
        <f>('[2]S&amp;P 500 &amp; Raw Data'!B28-'[2]S&amp;P 500 &amp; Raw Data'!B27+'[2]S&amp;P 500 &amp; Raw Data'!C28)/'[2]S&amp;P 500 &amp; Raw Data'!B27</f>
        <v>0.18150988641144306</v>
      </c>
      <c r="C39" s="151">
        <f>'[2]T. Bill rates'!G31</f>
        <v>1.6725E-2</v>
      </c>
      <c r="D39" s="151">
        <f>'[2]S&amp;P 500 &amp; Raw Data'!F28</f>
        <v>2.2679961918305656E-2</v>
      </c>
      <c r="E39" s="152">
        <f t="shared" si="3"/>
        <v>519.62413250918712</v>
      </c>
      <c r="F39" s="152">
        <f t="shared" si="3"/>
        <v>128.29154344681575</v>
      </c>
      <c r="G39" s="152">
        <f t="shared" si="3"/>
        <v>203.19019701923781</v>
      </c>
      <c r="H39" s="153">
        <f t="shared" si="0"/>
        <v>0.16478488641144307</v>
      </c>
      <c r="I39" s="154">
        <f t="shared" si="1"/>
        <v>0.1588299244931374</v>
      </c>
    </row>
    <row r="40" spans="1:10">
      <c r="A40" s="150">
        <v>1953</v>
      </c>
      <c r="B40" s="151">
        <f>('[2]S&amp;P 500 &amp; Raw Data'!B29-'[2]S&amp;P 500 &amp; Raw Data'!B28+'[2]S&amp;P 500 &amp; Raw Data'!C29)/'[2]S&amp;P 500 &amp; Raw Data'!B28</f>
        <v>-1.2082047421904465E-2</v>
      </c>
      <c r="C40" s="151">
        <f>'[2]T. Bill rates'!G32</f>
        <v>1.8925000000000001E-2</v>
      </c>
      <c r="D40" s="151">
        <f>'[2]S&amp;P 500 &amp; Raw Data'!F29</f>
        <v>4.1438402589088513E-2</v>
      </c>
      <c r="E40" s="152">
        <f t="shared" si="3"/>
        <v>513.34600909864514</v>
      </c>
      <c r="F40" s="152">
        <f t="shared" si="3"/>
        <v>130.71946090654674</v>
      </c>
      <c r="G40" s="152">
        <f t="shared" si="3"/>
        <v>211.61007420547722</v>
      </c>
      <c r="H40" s="153">
        <f t="shared" si="0"/>
        <v>-3.1007047421904466E-2</v>
      </c>
      <c r="I40" s="154">
        <f t="shared" si="1"/>
        <v>-5.3520450010992981E-2</v>
      </c>
    </row>
    <row r="41" spans="1:10">
      <c r="A41" s="150">
        <v>1954</v>
      </c>
      <c r="B41" s="151">
        <f>('[2]S&amp;P 500 &amp; Raw Data'!B30-'[2]S&amp;P 500 &amp; Raw Data'!B29+'[2]S&amp;P 500 &amp; Raw Data'!C30)/'[2]S&amp;P 500 &amp; Raw Data'!B29</f>
        <v>0.52563321241434902</v>
      </c>
      <c r="C41" s="151">
        <f>'[2]T. Bill rates'!G33</f>
        <v>9.6249999999999999E-3</v>
      </c>
      <c r="D41" s="151">
        <f>'[2]S&amp;P 500 &amp; Raw Data'!F30</f>
        <v>3.2898034558095555E-2</v>
      </c>
      <c r="E41" s="152">
        <f t="shared" si="3"/>
        <v>783.17772094125166</v>
      </c>
      <c r="F41" s="152">
        <f t="shared" si="3"/>
        <v>131.97763571777224</v>
      </c>
      <c r="G41" s="152">
        <f t="shared" si="3"/>
        <v>218.57162973953018</v>
      </c>
      <c r="H41" s="153">
        <f t="shared" si="0"/>
        <v>0.51600821241434902</v>
      </c>
      <c r="I41" s="154">
        <f t="shared" si="1"/>
        <v>0.49273517785625348</v>
      </c>
    </row>
    <row r="42" spans="1:10">
      <c r="A42" s="150">
        <v>1955</v>
      </c>
      <c r="B42" s="151">
        <f>('[2]S&amp;P 500 &amp; Raw Data'!B31-'[2]S&amp;P 500 &amp; Raw Data'!B30+'[2]S&amp;P 500 &amp; Raw Data'!C31)/'[2]S&amp;P 500 &amp; Raw Data'!B30</f>
        <v>0.32597331851028349</v>
      </c>
      <c r="C42" s="151">
        <f>'[2]T. Bill rates'!G34</f>
        <v>1.66E-2</v>
      </c>
      <c r="D42" s="151">
        <f>'[2]S&amp;P 500 &amp; Raw Data'!F31</f>
        <v>-1.3364391288618781E-2</v>
      </c>
      <c r="E42" s="152">
        <f t="shared" si="3"/>
        <v>1038.4727616197922</v>
      </c>
      <c r="F42" s="152">
        <f t="shared" si="3"/>
        <v>134.16846447068727</v>
      </c>
      <c r="G42" s="152">
        <f t="shared" si="3"/>
        <v>215.65055295509998</v>
      </c>
      <c r="H42" s="153">
        <f t="shared" si="0"/>
        <v>0.30937331851028349</v>
      </c>
      <c r="I42" s="154">
        <f t="shared" si="1"/>
        <v>0.33933770979890227</v>
      </c>
    </row>
    <row r="43" spans="1:10">
      <c r="A43" s="150">
        <v>1956</v>
      </c>
      <c r="B43" s="151">
        <f>('[2]S&amp;P 500 &amp; Raw Data'!B32-'[2]S&amp;P 500 &amp; Raw Data'!B31+'[2]S&amp;P 500 &amp; Raw Data'!C32)/'[2]S&amp;P 500 &amp; Raw Data'!B31</f>
        <v>7.4395118733509347E-2</v>
      </c>
      <c r="C43" s="151">
        <f>'[2]T. Bill rates'!G35</f>
        <v>2.5550000000000003E-2</v>
      </c>
      <c r="D43" s="151">
        <f>'[2]S&amp;P 500 &amp; Raw Data'!F32</f>
        <v>-2.2557738173154165E-2</v>
      </c>
      <c r="E43" s="152">
        <f t="shared" si="3"/>
        <v>1115.7300660220119</v>
      </c>
      <c r="F43" s="152">
        <f t="shared" si="3"/>
        <v>137.59646873791331</v>
      </c>
      <c r="G43" s="152">
        <f t="shared" si="3"/>
        <v>210.78596424464291</v>
      </c>
      <c r="H43" s="153">
        <f t="shared" si="0"/>
        <v>4.8845118733509343E-2</v>
      </c>
      <c r="I43" s="154">
        <f t="shared" si="1"/>
        <v>9.6952856906663512E-2</v>
      </c>
    </row>
    <row r="44" spans="1:10">
      <c r="A44" s="150">
        <v>1957</v>
      </c>
      <c r="B44" s="151">
        <f>('[2]S&amp;P 500 &amp; Raw Data'!B33-'[2]S&amp;P 500 &amp; Raw Data'!B32+'[2]S&amp;P 500 &amp; Raw Data'!C33)/'[2]S&amp;P 500 &amp; Raw Data'!B32</f>
        <v>-0.1045736018855796</v>
      </c>
      <c r="C44" s="151">
        <f>'[2]T. Bill rates'!G36</f>
        <v>3.2300000000000002E-2</v>
      </c>
      <c r="D44" s="151">
        <f>'[2]S&amp;P 500 &amp; Raw Data'!F33</f>
        <v>6.7970128466249904E-2</v>
      </c>
      <c r="E44" s="152">
        <f t="shared" si="3"/>
        <v>999.05415428605454</v>
      </c>
      <c r="F44" s="152">
        <f t="shared" si="3"/>
        <v>142.04083467814792</v>
      </c>
      <c r="G44" s="152">
        <f t="shared" si="3"/>
        <v>225.11311331323367</v>
      </c>
      <c r="H44" s="153">
        <f t="shared" si="0"/>
        <v>-0.13687360188557959</v>
      </c>
      <c r="I44" s="154">
        <f t="shared" si="1"/>
        <v>-0.17254373035182952</v>
      </c>
    </row>
    <row r="45" spans="1:10">
      <c r="A45" s="150">
        <v>1958</v>
      </c>
      <c r="B45" s="151">
        <f>('[2]S&amp;P 500 &amp; Raw Data'!B34-'[2]S&amp;P 500 &amp; Raw Data'!B33+'[2]S&amp;P 500 &amp; Raw Data'!C34)/'[2]S&amp;P 500 &amp; Raw Data'!B33</f>
        <v>0.43719954988747184</v>
      </c>
      <c r="C45" s="151">
        <f>'[2]T. Bill rates'!G37</f>
        <v>1.7774999999999999E-2</v>
      </c>
      <c r="D45" s="151">
        <f>'[2]S&amp;P 500 &amp; Raw Data'!F34</f>
        <v>-2.0990181755274694E-2</v>
      </c>
      <c r="E45" s="152">
        <f t="shared" si="3"/>
        <v>1435.8401808531264</v>
      </c>
      <c r="F45" s="152">
        <f t="shared" si="3"/>
        <v>144.56561051455202</v>
      </c>
      <c r="G45" s="152">
        <f t="shared" si="3"/>
        <v>220.38794814929315</v>
      </c>
      <c r="H45" s="153">
        <f t="shared" si="0"/>
        <v>0.41942454988747185</v>
      </c>
      <c r="I45" s="154">
        <f t="shared" si="1"/>
        <v>0.45818973164274651</v>
      </c>
    </row>
    <row r="46" spans="1:10">
      <c r="A46" s="150">
        <v>1959</v>
      </c>
      <c r="B46" s="151">
        <f>('[2]S&amp;P 500 &amp; Raw Data'!B35-'[2]S&amp;P 500 &amp; Raw Data'!B34+'[2]S&amp;P 500 &amp; Raw Data'!C35)/'[2]S&amp;P 500 &amp; Raw Data'!B34</f>
        <v>0.12056457163557326</v>
      </c>
      <c r="C46" s="151">
        <f>'[2]T. Bill rates'!G38</f>
        <v>3.2549999999999996E-2</v>
      </c>
      <c r="D46" s="151">
        <f>'[2]S&amp;P 500 &amp; Raw Data'!F35</f>
        <v>-2.6466312591385065E-2</v>
      </c>
      <c r="E46" s="152">
        <f t="shared" si="3"/>
        <v>1608.9516371948275</v>
      </c>
      <c r="F46" s="152">
        <f t="shared" si="3"/>
        <v>149.2712211368007</v>
      </c>
      <c r="G46" s="152">
        <f t="shared" si="3"/>
        <v>214.55509182219998</v>
      </c>
      <c r="H46" s="153">
        <f t="shared" si="0"/>
        <v>8.801457163557326E-2</v>
      </c>
      <c r="I46" s="154">
        <f t="shared" si="1"/>
        <v>0.14703088422695831</v>
      </c>
    </row>
    <row r="47" spans="1:10">
      <c r="A47" s="150">
        <v>1960</v>
      </c>
      <c r="B47" s="151">
        <f>('[2]S&amp;P 500 &amp; Raw Data'!B36-'[2]S&amp;P 500 &amp; Raw Data'!B35+'[2]S&amp;P 500 &amp; Raw Data'!C36)/'[2]S&amp;P 500 &amp; Raw Data'!B35</f>
        <v>3.36535314743695E-3</v>
      </c>
      <c r="C47" s="151">
        <f>'[2]T. Bill rates'!G39</f>
        <v>3.0449999999999998E-2</v>
      </c>
      <c r="D47" s="151">
        <f>'[2]S&amp;P 500 &amp; Raw Data'!F36</f>
        <v>0.11639503690963365</v>
      </c>
      <c r="E47" s="152">
        <f t="shared" si="3"/>
        <v>1614.366327651135</v>
      </c>
      <c r="F47" s="152">
        <f t="shared" si="3"/>
        <v>153.81652982041629</v>
      </c>
      <c r="G47" s="152">
        <f t="shared" si="3"/>
        <v>239.52823965399477</v>
      </c>
      <c r="H47" s="153">
        <f t="shared" si="0"/>
        <v>-2.7084646852563048E-2</v>
      </c>
      <c r="I47" s="154">
        <f t="shared" si="1"/>
        <v>-0.1130296837621967</v>
      </c>
      <c r="J47" s="153">
        <f t="shared" ref="J47:J98" si="4">((E47/100)^(1/(A47-$A$15+1)))-((G47/100)^(1/(A47-$A$15+1)))</f>
        <v>6.1119788031217315E-2</v>
      </c>
    </row>
    <row r="48" spans="1:10">
      <c r="A48" s="150">
        <v>1961</v>
      </c>
      <c r="B48" s="151">
        <f>('[2]S&amp;P 500 &amp; Raw Data'!B37-'[2]S&amp;P 500 &amp; Raw Data'!B36+'[2]S&amp;P 500 &amp; Raw Data'!C37)/'[2]S&amp;P 500 &amp; Raw Data'!B36</f>
        <v>0.26637712958182752</v>
      </c>
      <c r="C48" s="151">
        <f>'[2]T. Bill rates'!G40</f>
        <v>2.2675000000000001E-2</v>
      </c>
      <c r="D48" s="151">
        <f>'[2]S&amp;P 500 &amp; Raw Data'!F37</f>
        <v>2.0609208076323167E-2</v>
      </c>
      <c r="E48" s="152">
        <f t="shared" ref="E48:G63" si="5">E47*(1+B48)</f>
        <v>2044.3965961044005</v>
      </c>
      <c r="F48" s="152">
        <f t="shared" si="5"/>
        <v>157.30431963409424</v>
      </c>
      <c r="G48" s="152">
        <f t="shared" si="5"/>
        <v>244.46472698517934</v>
      </c>
      <c r="H48" s="153">
        <f t="shared" si="0"/>
        <v>0.24370212958182752</v>
      </c>
      <c r="I48" s="154">
        <f t="shared" si="1"/>
        <v>0.24576792150550436</v>
      </c>
      <c r="J48" s="153">
        <f t="shared" si="4"/>
        <v>6.6173591829972622E-2</v>
      </c>
    </row>
    <row r="49" spans="1:10">
      <c r="A49" s="150">
        <v>1962</v>
      </c>
      <c r="B49" s="151">
        <f>('[2]S&amp;P 500 &amp; Raw Data'!B38-'[2]S&amp;P 500 &amp; Raw Data'!B37+'[2]S&amp;P 500 &amp; Raw Data'!C38)/'[2]S&amp;P 500 &amp; Raw Data'!B37</f>
        <v>-8.8114605171208879E-2</v>
      </c>
      <c r="C49" s="151">
        <f>'[2]T. Bill rates'!G41</f>
        <v>2.7775000000000005E-2</v>
      </c>
      <c r="D49" s="151">
        <f>'[2]S&amp;P 500 &amp; Raw Data'!F38</f>
        <v>5.693544054008462E-2</v>
      </c>
      <c r="E49" s="152">
        <f t="shared" si="5"/>
        <v>1864.2553972252979</v>
      </c>
      <c r="F49" s="152">
        <f t="shared" si="5"/>
        <v>161.67344711193124</v>
      </c>
      <c r="G49" s="152">
        <f t="shared" si="5"/>
        <v>258.38343391259201</v>
      </c>
      <c r="H49" s="153">
        <f t="shared" si="0"/>
        <v>-0.11588960517120889</v>
      </c>
      <c r="I49" s="154">
        <f t="shared" si="1"/>
        <v>-0.14505004571129348</v>
      </c>
      <c r="J49" s="153">
        <f t="shared" si="4"/>
        <v>5.9683465378989942E-2</v>
      </c>
    </row>
    <row r="50" spans="1:10">
      <c r="A50" s="150">
        <v>1963</v>
      </c>
      <c r="B50" s="151">
        <f>('[2]S&amp;P 500 &amp; Raw Data'!B39-'[2]S&amp;P 500 &amp; Raw Data'!B38+'[2]S&amp;P 500 &amp; Raw Data'!C39)/'[2]S&amp;P 500 &amp; Raw Data'!B38</f>
        <v>0.22611927099841514</v>
      </c>
      <c r="C50" s="151">
        <f>'[2]T. Bill rates'!G42</f>
        <v>3.1100000000000003E-2</v>
      </c>
      <c r="D50" s="151">
        <f>'[2]S&amp;P 500 &amp; Raw Data'!F39</f>
        <v>1.6841620739546127E-2</v>
      </c>
      <c r="E50" s="152">
        <f t="shared" si="5"/>
        <v>2285.7994686007432</v>
      </c>
      <c r="F50" s="152">
        <f t="shared" si="5"/>
        <v>166.70149131711227</v>
      </c>
      <c r="G50" s="152">
        <f t="shared" si="5"/>
        <v>262.73502971192949</v>
      </c>
      <c r="H50" s="153">
        <f t="shared" si="0"/>
        <v>0.19501927099841515</v>
      </c>
      <c r="I50" s="154">
        <f t="shared" si="1"/>
        <v>0.20927765025886902</v>
      </c>
      <c r="J50" s="153">
        <f t="shared" si="4"/>
        <v>6.3618993911514821E-2</v>
      </c>
    </row>
    <row r="51" spans="1:10">
      <c r="A51" s="150">
        <v>1964</v>
      </c>
      <c r="B51" s="151">
        <f>('[2]S&amp;P 500 &amp; Raw Data'!B40-'[2]S&amp;P 500 &amp; Raw Data'!B39+'[2]S&amp;P 500 &amp; Raw Data'!C40)/'[2]S&amp;P 500 &amp; Raw Data'!B39</f>
        <v>0.16415455878432425</v>
      </c>
      <c r="C51" s="151">
        <f>'[2]T. Bill rates'!G43</f>
        <v>3.5049999999999998E-2</v>
      </c>
      <c r="D51" s="151">
        <f>'[2]S&amp;P 500 &amp; Raw Data'!F40</f>
        <v>3.7280648911540815E-2</v>
      </c>
      <c r="E51" s="152">
        <f t="shared" si="5"/>
        <v>2661.0238718383412</v>
      </c>
      <c r="F51" s="152">
        <f t="shared" si="5"/>
        <v>172.54437858777706</v>
      </c>
      <c r="G51" s="152">
        <f t="shared" si="5"/>
        <v>272.52996211138321</v>
      </c>
      <c r="H51" s="153">
        <f t="shared" si="0"/>
        <v>0.12910455878432425</v>
      </c>
      <c r="I51" s="154">
        <f t="shared" si="1"/>
        <v>0.12687390987278344</v>
      </c>
      <c r="J51" s="153">
        <f t="shared" si="4"/>
        <v>6.5267777442658215E-2</v>
      </c>
    </row>
    <row r="52" spans="1:10">
      <c r="A52" s="150">
        <v>1965</v>
      </c>
      <c r="B52" s="151">
        <f>('[2]S&amp;P 500 &amp; Raw Data'!B41-'[2]S&amp;P 500 &amp; Raw Data'!B40+'[2]S&amp;P 500 &amp; Raw Data'!C41)/'[2]S&amp;P 500 &amp; Raw Data'!B40</f>
        <v>0.12399242477876114</v>
      </c>
      <c r="C52" s="151">
        <f>'[2]T. Bill rates'!G44</f>
        <v>3.9024999999999997E-2</v>
      </c>
      <c r="D52" s="151">
        <f>'[2]S&amp;P 500 &amp; Raw Data'!F41</f>
        <v>7.1885509359262342E-3</v>
      </c>
      <c r="E52" s="152">
        <f t="shared" si="5"/>
        <v>2990.9706741017444</v>
      </c>
      <c r="F52" s="152">
        <f t="shared" si="5"/>
        <v>179.27792296216506</v>
      </c>
      <c r="G52" s="152">
        <f t="shared" si="5"/>
        <v>274.48905762558695</v>
      </c>
      <c r="H52" s="153">
        <f t="shared" si="0"/>
        <v>8.4967424778761153E-2</v>
      </c>
      <c r="I52" s="154">
        <f t="shared" si="1"/>
        <v>0.11680387384283492</v>
      </c>
      <c r="J52" s="153">
        <f t="shared" si="4"/>
        <v>6.6617941689874449E-2</v>
      </c>
    </row>
    <row r="53" spans="1:10">
      <c r="A53" s="150">
        <v>1966</v>
      </c>
      <c r="B53" s="151">
        <f>('[2]S&amp;P 500 &amp; Raw Data'!B42-'[2]S&amp;P 500 &amp; Raw Data'!B41+'[2]S&amp;P 500 &amp; Raw Data'!C42)/'[2]S&amp;P 500 &amp; Raw Data'!B41</f>
        <v>-9.9709542356377898E-2</v>
      </c>
      <c r="C53" s="151">
        <f>'[2]T. Bill rates'!G45</f>
        <v>4.8399999999999999E-2</v>
      </c>
      <c r="D53" s="151">
        <f>'[2]S&amp;P 500 &amp; Raw Data'!F42</f>
        <v>2.9079409324299622E-2</v>
      </c>
      <c r="E53" s="152">
        <f t="shared" si="5"/>
        <v>2692.7423569857124</v>
      </c>
      <c r="F53" s="152">
        <f t="shared" si="5"/>
        <v>187.95497443353386</v>
      </c>
      <c r="G53" s="152">
        <f t="shared" si="5"/>
        <v>282.47103728732264</v>
      </c>
      <c r="H53" s="153">
        <f t="shared" si="0"/>
        <v>-0.14810954235637791</v>
      </c>
      <c r="I53" s="154">
        <f t="shared" si="1"/>
        <v>-0.12878895168067753</v>
      </c>
      <c r="J53" s="153">
        <f t="shared" si="4"/>
        <v>6.1123719679815336E-2</v>
      </c>
    </row>
    <row r="54" spans="1:10">
      <c r="A54" s="150">
        <v>1967</v>
      </c>
      <c r="B54" s="151">
        <f>('[2]S&amp;P 500 &amp; Raw Data'!B43-'[2]S&amp;P 500 &amp; Raw Data'!B42+'[2]S&amp;P 500 &amp; Raw Data'!C43)/'[2]S&amp;P 500 &amp; Raw Data'!B42</f>
        <v>0.23802966513133328</v>
      </c>
      <c r="C54" s="151">
        <f>'[2]T. Bill rates'!G46</f>
        <v>4.3324999999999995E-2</v>
      </c>
      <c r="D54" s="151">
        <f>'[2]S&amp;P 500 &amp; Raw Data'!F43</f>
        <v>-1.5806209932824666E-2</v>
      </c>
      <c r="E54" s="152">
        <f t="shared" si="5"/>
        <v>3333.6949185039784</v>
      </c>
      <c r="F54" s="152">
        <f t="shared" si="5"/>
        <v>196.09812370086672</v>
      </c>
      <c r="G54" s="152">
        <f t="shared" si="5"/>
        <v>278.0062407720165</v>
      </c>
      <c r="H54" s="153">
        <f t="shared" si="0"/>
        <v>0.19470466513133328</v>
      </c>
      <c r="I54" s="154">
        <f t="shared" si="1"/>
        <v>0.25383587506415795</v>
      </c>
      <c r="J54" s="153">
        <f t="shared" si="4"/>
        <v>6.5732838776739522E-2</v>
      </c>
    </row>
    <row r="55" spans="1:10">
      <c r="A55" s="150">
        <v>1968</v>
      </c>
      <c r="B55" s="151">
        <f>('[2]S&amp;P 500 &amp; Raw Data'!B44-'[2]S&amp;P 500 &amp; Raw Data'!B43+'[2]S&amp;P 500 &amp; Raw Data'!C44)/'[2]S&amp;P 500 &amp; Raw Data'!B43</f>
        <v>0.10814862651601535</v>
      </c>
      <c r="C55" s="151">
        <f>'[2]T. Bill rates'!G47</f>
        <v>5.2600000000000001E-2</v>
      </c>
      <c r="D55" s="151">
        <f>'[2]S&amp;P 500 &amp; Raw Data'!F44</f>
        <v>3.2746196950768365E-2</v>
      </c>
      <c r="E55" s="152">
        <f t="shared" si="5"/>
        <v>3694.2294451636035</v>
      </c>
      <c r="F55" s="152">
        <f t="shared" si="5"/>
        <v>206.41288500753231</v>
      </c>
      <c r="G55" s="152">
        <f t="shared" si="5"/>
        <v>287.10988788587969</v>
      </c>
      <c r="H55" s="153">
        <f t="shared" si="0"/>
        <v>5.5548626516015352E-2</v>
      </c>
      <c r="I55" s="154">
        <f t="shared" si="1"/>
        <v>7.5402429565246981E-2</v>
      </c>
      <c r="J55" s="153">
        <f t="shared" si="4"/>
        <v>6.596627828748769E-2</v>
      </c>
    </row>
    <row r="56" spans="1:10">
      <c r="A56" s="150">
        <v>1969</v>
      </c>
      <c r="B56" s="151">
        <f>('[2]S&amp;P 500 &amp; Raw Data'!B45-'[2]S&amp;P 500 &amp; Raw Data'!B44+'[2]S&amp;P 500 &amp; Raw Data'!C45)/'[2]S&amp;P 500 &amp; Raw Data'!B44</f>
        <v>-8.2413710764490639E-2</v>
      </c>
      <c r="C56" s="151">
        <f>'[2]T. Bill rates'!G48</f>
        <v>6.5625000000000003E-2</v>
      </c>
      <c r="D56" s="151">
        <f>'[2]S&amp;P 500 &amp; Raw Data'!F45</f>
        <v>-5.0140493209926106E-2</v>
      </c>
      <c r="E56" s="152">
        <f t="shared" si="5"/>
        <v>3389.7742881722256</v>
      </c>
      <c r="F56" s="152">
        <f t="shared" si="5"/>
        <v>219.95873058615163</v>
      </c>
      <c r="G56" s="152">
        <f t="shared" si="5"/>
        <v>272.7140565018351</v>
      </c>
      <c r="H56" s="153">
        <f t="shared" si="0"/>
        <v>-0.14803871076449066</v>
      </c>
      <c r="I56" s="154">
        <f t="shared" si="1"/>
        <v>-3.2273217554564533E-2</v>
      </c>
      <c r="J56" s="153">
        <f t="shared" si="4"/>
        <v>6.3333872734198771E-2</v>
      </c>
    </row>
    <row r="57" spans="1:10">
      <c r="A57" s="150">
        <v>1970</v>
      </c>
      <c r="B57" s="151">
        <f>('[2]S&amp;P 500 &amp; Raw Data'!B46-'[2]S&amp;P 500 &amp; Raw Data'!B45+'[2]S&amp;P 500 &amp; Raw Data'!C46)/'[2]S&amp;P 500 &amp; Raw Data'!B45</f>
        <v>3.5611449054964189E-2</v>
      </c>
      <c r="C57" s="151">
        <f>'[2]T. Bill rates'!G49</f>
        <v>6.6849999999999993E-2</v>
      </c>
      <c r="D57" s="151">
        <f>'[2]S&amp;P 500 &amp; Raw Data'!F46</f>
        <v>0.16754737183412338</v>
      </c>
      <c r="E57" s="152">
        <f t="shared" si="5"/>
        <v>3510.4890625432981</v>
      </c>
      <c r="F57" s="152">
        <f t="shared" si="5"/>
        <v>234.66297172583589</v>
      </c>
      <c r="G57" s="152">
        <f t="shared" si="5"/>
        <v>318.40657993094021</v>
      </c>
      <c r="H57" s="153">
        <f t="shared" si="0"/>
        <v>-3.1238550945035803E-2</v>
      </c>
      <c r="I57" s="154">
        <f t="shared" si="1"/>
        <v>-0.13193592277915919</v>
      </c>
      <c r="J57" s="153">
        <f t="shared" si="4"/>
        <v>5.8972566666315007E-2</v>
      </c>
    </row>
    <row r="58" spans="1:10">
      <c r="A58" s="150">
        <v>1971</v>
      </c>
      <c r="B58" s="151">
        <f>('[2]S&amp;P 500 &amp; Raw Data'!B47-'[2]S&amp;P 500 &amp; Raw Data'!B46+'[2]S&amp;P 500 &amp; Raw Data'!C47)/'[2]S&amp;P 500 &amp; Raw Data'!B46</f>
        <v>0.14221150298426474</v>
      </c>
      <c r="C58" s="151">
        <f>'[2]T. Bill rates'!G50</f>
        <v>4.5400000000000003E-2</v>
      </c>
      <c r="D58" s="151">
        <f>'[2]S&amp;P 500 &amp; Raw Data'!F47</f>
        <v>9.7868966197122972E-2</v>
      </c>
      <c r="E58" s="152">
        <f t="shared" si="5"/>
        <v>4009.720988337403</v>
      </c>
      <c r="F58" s="152">
        <f t="shared" si="5"/>
        <v>245.31667064218885</v>
      </c>
      <c r="G58" s="152">
        <f t="shared" si="5"/>
        <v>349.56870273914296</v>
      </c>
      <c r="H58" s="153">
        <f t="shared" si="0"/>
        <v>9.6811502984264747E-2</v>
      </c>
      <c r="I58" s="154">
        <f t="shared" si="1"/>
        <v>4.434253678714177E-2</v>
      </c>
      <c r="J58" s="153">
        <f t="shared" si="4"/>
        <v>5.8660636809878541E-2</v>
      </c>
    </row>
    <row r="59" spans="1:10">
      <c r="A59" s="150">
        <v>1972</v>
      </c>
      <c r="B59" s="151">
        <f>('[2]S&amp;P 500 &amp; Raw Data'!B48-'[2]S&amp;P 500 &amp; Raw Data'!B47+'[2]S&amp;P 500 &amp; Raw Data'!C48)/'[2]S&amp;P 500 &amp; Raw Data'!B47</f>
        <v>0.18755362915074925</v>
      </c>
      <c r="C59" s="151">
        <f>'[2]T. Bill rates'!G51</f>
        <v>3.9525000000000005E-2</v>
      </c>
      <c r="D59" s="151">
        <f>'[2]S&amp;P 500 &amp; Raw Data'!F48</f>
        <v>2.818449050444969E-2</v>
      </c>
      <c r="E59" s="152">
        <f t="shared" si="5"/>
        <v>4761.7587115820115</v>
      </c>
      <c r="F59" s="152">
        <f t="shared" si="5"/>
        <v>255.01281204932138</v>
      </c>
      <c r="G59" s="152">
        <f t="shared" si="5"/>
        <v>359.42111852214714</v>
      </c>
      <c r="H59" s="153">
        <f t="shared" si="0"/>
        <v>0.14802862915074924</v>
      </c>
      <c r="I59" s="154">
        <f t="shared" si="1"/>
        <v>0.15936913864629956</v>
      </c>
      <c r="J59" s="153">
        <f t="shared" si="4"/>
        <v>6.0804303728189568E-2</v>
      </c>
    </row>
    <row r="60" spans="1:10">
      <c r="A60" s="150">
        <v>1973</v>
      </c>
      <c r="B60" s="151">
        <f>('[2]S&amp;P 500 &amp; Raw Data'!B49-'[2]S&amp;P 500 &amp; Raw Data'!B48+'[2]S&amp;P 500 &amp; Raw Data'!C49)/'[2]S&amp;P 500 &amp; Raw Data'!B48</f>
        <v>-0.14308047437526472</v>
      </c>
      <c r="C60" s="151">
        <f>'[2]T. Bill rates'!G52</f>
        <v>6.724999999999999E-2</v>
      </c>
      <c r="D60" s="151">
        <f>'[2]S&amp;P 500 &amp; Raw Data'!F49</f>
        <v>3.6586646024150085E-2</v>
      </c>
      <c r="E60" s="152">
        <f t="shared" si="5"/>
        <v>4080.4440162683081</v>
      </c>
      <c r="F60" s="152">
        <f t="shared" si="5"/>
        <v>272.16242365963825</v>
      </c>
      <c r="G60" s="152">
        <f t="shared" si="5"/>
        <v>372.57113175912104</v>
      </c>
      <c r="H60" s="153">
        <f t="shared" si="0"/>
        <v>-0.2103304743752647</v>
      </c>
      <c r="I60" s="154">
        <f t="shared" si="1"/>
        <v>-0.17966712039941479</v>
      </c>
      <c r="J60" s="153">
        <f t="shared" si="4"/>
        <v>5.4960045718843054E-2</v>
      </c>
    </row>
    <row r="61" spans="1:10">
      <c r="A61" s="150">
        <v>1974</v>
      </c>
      <c r="B61" s="151">
        <f>('[2]S&amp;P 500 &amp; Raw Data'!B50-'[2]S&amp;P 500 &amp; Raw Data'!B49+'[2]S&amp;P 500 &amp; Raw Data'!C50)/'[2]S&amp;P 500 &amp; Raw Data'!B49</f>
        <v>-0.25901785750896972</v>
      </c>
      <c r="C61" s="151">
        <f>'[2]T. Bill rates'!G53</f>
        <v>7.7775000000000011E-2</v>
      </c>
      <c r="D61" s="151">
        <f>'[2]S&amp;P 500 &amp; Raw Data'!F50</f>
        <v>1.9886086932378574E-2</v>
      </c>
      <c r="E61" s="152">
        <f t="shared" si="5"/>
        <v>3023.5361494891954</v>
      </c>
      <c r="F61" s="152">
        <f t="shared" si="5"/>
        <v>293.32985615976662</v>
      </c>
      <c r="G61" s="152">
        <f t="shared" si="5"/>
        <v>379.98011367377757</v>
      </c>
      <c r="H61" s="153">
        <f t="shared" si="0"/>
        <v>-0.3367928575089697</v>
      </c>
      <c r="I61" s="154">
        <f t="shared" si="1"/>
        <v>-0.27890394444134831</v>
      </c>
      <c r="J61" s="153">
        <f t="shared" si="4"/>
        <v>4.6417018581159875E-2</v>
      </c>
    </row>
    <row r="62" spans="1:10">
      <c r="A62" s="150">
        <v>1975</v>
      </c>
      <c r="B62" s="151">
        <f>('[2]S&amp;P 500 &amp; Raw Data'!B51-'[2]S&amp;P 500 &amp; Raw Data'!B50+'[2]S&amp;P 500 &amp; Raw Data'!C51)/'[2]S&amp;P 500 &amp; Raw Data'!B50</f>
        <v>0.36995137106184356</v>
      </c>
      <c r="C62" s="151">
        <f>'[2]T. Bill rates'!G54</f>
        <v>5.9900000000000002E-2</v>
      </c>
      <c r="D62" s="151">
        <f>'[2]S&amp;P 500 &amp; Raw Data'!F51</f>
        <v>3.6052536026033838E-2</v>
      </c>
      <c r="E62" s="152">
        <f t="shared" si="5"/>
        <v>4142.0974934477708</v>
      </c>
      <c r="F62" s="152">
        <f t="shared" si="5"/>
        <v>310.90031454373667</v>
      </c>
      <c r="G62" s="152">
        <f t="shared" si="5"/>
        <v>393.67936041117781</v>
      </c>
      <c r="H62" s="153">
        <f t="shared" si="0"/>
        <v>0.31005137106184355</v>
      </c>
      <c r="I62" s="154">
        <f t="shared" si="1"/>
        <v>0.33389883503580975</v>
      </c>
      <c r="J62" s="153">
        <f t="shared" si="4"/>
        <v>5.1706756781676244E-2</v>
      </c>
    </row>
    <row r="63" spans="1:10">
      <c r="A63" s="150">
        <v>1976</v>
      </c>
      <c r="B63" s="151">
        <f>('[2]S&amp;P 500 &amp; Raw Data'!B52-'[2]S&amp;P 500 &amp; Raw Data'!B51+'[2]S&amp;P 500 &amp; Raw Data'!C52)/'[2]S&amp;P 500 &amp; Raw Data'!B51</f>
        <v>0.23830999002106662</v>
      </c>
      <c r="C63" s="151">
        <f>'[2]T. Bill rates'!G55</f>
        <v>4.9700000000000008E-2</v>
      </c>
      <c r="D63" s="151">
        <f>'[2]S&amp;P 500 &amp; Raw Data'!F52</f>
        <v>0.1598456074290921</v>
      </c>
      <c r="E63" s="152">
        <f t="shared" si="5"/>
        <v>5129.2007057775936</v>
      </c>
      <c r="F63" s="152">
        <f t="shared" si="5"/>
        <v>326.35206017656043</v>
      </c>
      <c r="G63" s="152">
        <f t="shared" si="5"/>
        <v>456.607276908399</v>
      </c>
      <c r="H63" s="153">
        <f t="shared" si="0"/>
        <v>0.1886099900210666</v>
      </c>
      <c r="I63" s="154">
        <f t="shared" si="1"/>
        <v>7.8464382591974524E-2</v>
      </c>
      <c r="J63" s="153">
        <f t="shared" si="4"/>
        <v>5.2196588038950109E-2</v>
      </c>
    </row>
    <row r="64" spans="1:10">
      <c r="A64" s="150">
        <v>1977</v>
      </c>
      <c r="B64" s="151">
        <f>('[2]S&amp;P 500 &amp; Raw Data'!B53-'[2]S&amp;P 500 &amp; Raw Data'!B52+'[2]S&amp;P 500 &amp; Raw Data'!C53)/'[2]S&amp;P 500 &amp; Raw Data'!B52</f>
        <v>-6.9797040759352322E-2</v>
      </c>
      <c r="C64" s="151">
        <f>'[2]T. Bill rates'!G56</f>
        <v>5.1275000000000001E-2</v>
      </c>
      <c r="D64" s="151">
        <f>'[2]S&amp;P 500 &amp; Raw Data'!F53</f>
        <v>1.2899606071070449E-2</v>
      </c>
      <c r="E64" s="152">
        <f t="shared" ref="E64:G79" si="6">E63*(1+B64)</f>
        <v>4771.1976750535359</v>
      </c>
      <c r="F64" s="152">
        <f t="shared" si="6"/>
        <v>343.08576206211353</v>
      </c>
      <c r="G64" s="152">
        <f t="shared" si="6"/>
        <v>462.49733090970153</v>
      </c>
      <c r="H64" s="153">
        <f t="shared" si="0"/>
        <v>-0.12107204075935232</v>
      </c>
      <c r="I64" s="154">
        <f t="shared" si="1"/>
        <v>-8.2696646830422771E-2</v>
      </c>
      <c r="J64" s="153">
        <f t="shared" si="4"/>
        <v>4.9266761357046551E-2</v>
      </c>
    </row>
    <row r="65" spans="1:10">
      <c r="A65" s="150">
        <v>1978</v>
      </c>
      <c r="B65" s="151">
        <f>('[2]S&amp;P 500 &amp; Raw Data'!B54-'[2]S&amp;P 500 &amp; Raw Data'!B53+'[2]S&amp;P 500 &amp; Raw Data'!C54)/'[2]S&amp;P 500 &amp; Raw Data'!B53</f>
        <v>6.50928391167193E-2</v>
      </c>
      <c r="C65" s="151">
        <f>'[2]T. Bill rates'!G57</f>
        <v>6.9325000000000012E-2</v>
      </c>
      <c r="D65" s="151">
        <f>'[2]S&amp;P 500 &amp; Raw Data'!F54</f>
        <v>-7.7758069075086478E-3</v>
      </c>
      <c r="E65" s="152">
        <f t="shared" si="6"/>
        <v>5081.7684777098611</v>
      </c>
      <c r="F65" s="152">
        <f t="shared" si="6"/>
        <v>366.87018251706957</v>
      </c>
      <c r="G65" s="152">
        <f t="shared" si="6"/>
        <v>458.90104096930958</v>
      </c>
      <c r="H65" s="153">
        <f t="shared" si="0"/>
        <v>-4.2321608832807112E-3</v>
      </c>
      <c r="I65" s="154">
        <f t="shared" si="1"/>
        <v>7.2868646024227948E-2</v>
      </c>
      <c r="J65" s="153">
        <f t="shared" si="4"/>
        <v>4.9741898913203242E-2</v>
      </c>
    </row>
    <row r="66" spans="1:10">
      <c r="A66" s="150">
        <v>1979</v>
      </c>
      <c r="B66" s="151">
        <f>('[2]S&amp;P 500 &amp; Raw Data'!B55-'[2]S&amp;P 500 &amp; Raw Data'!B54+'[2]S&amp;P 500 &amp; Raw Data'!C55)/'[2]S&amp;P 500 &amp; Raw Data'!B54</f>
        <v>0.18519490167516386</v>
      </c>
      <c r="C66" s="151">
        <f>'[2]T. Bill rates'!G58</f>
        <v>9.9375000000000005E-2</v>
      </c>
      <c r="D66" s="151">
        <f>'[2]S&amp;P 500 &amp; Raw Data'!F55</f>
        <v>6.7072031247235459E-3</v>
      </c>
      <c r="E66" s="152">
        <f t="shared" si="6"/>
        <v>6022.8860912752862</v>
      </c>
      <c r="F66" s="152">
        <f t="shared" si="6"/>
        <v>403.32790690470335</v>
      </c>
      <c r="G66" s="152">
        <f t="shared" si="6"/>
        <v>461.97898346523777</v>
      </c>
      <c r="H66" s="153">
        <f t="shared" si="0"/>
        <v>8.5819901675163859E-2</v>
      </c>
      <c r="I66" s="154">
        <f t="shared" si="1"/>
        <v>0.17848769855044033</v>
      </c>
      <c r="J66" s="153">
        <f t="shared" si="4"/>
        <v>5.2132252828986925E-2</v>
      </c>
    </row>
    <row r="67" spans="1:10">
      <c r="A67" s="150">
        <v>1980</v>
      </c>
      <c r="B67" s="151">
        <f>('[2]S&amp;P 500 &amp; Raw Data'!B56-'[2]S&amp;P 500 &amp; Raw Data'!B55+'[2]S&amp;P 500 &amp; Raw Data'!C56)/'[2]S&amp;P 500 &amp; Raw Data'!B55</f>
        <v>0.3173524550676301</v>
      </c>
      <c r="C67" s="151">
        <f>'[2]T. Bill rates'!G59</f>
        <v>0.11219999999999999</v>
      </c>
      <c r="D67" s="151">
        <f>'[2]S&amp;P 500 &amp; Raw Data'!F56</f>
        <v>-2.989744251999403E-2</v>
      </c>
      <c r="E67" s="152">
        <f t="shared" si="6"/>
        <v>7934.2637789341807</v>
      </c>
      <c r="F67" s="152">
        <f t="shared" si="6"/>
        <v>448.5812980594111</v>
      </c>
      <c r="G67" s="152">
        <f t="shared" si="6"/>
        <v>448.16699336164055</v>
      </c>
      <c r="H67" s="153">
        <f t="shared" si="0"/>
        <v>0.20515245506763011</v>
      </c>
      <c r="I67" s="154">
        <f t="shared" si="1"/>
        <v>0.34724989758762415</v>
      </c>
      <c r="J67" s="153">
        <f t="shared" si="4"/>
        <v>5.7318705257589642E-2</v>
      </c>
    </row>
    <row r="68" spans="1:10">
      <c r="A68" s="150">
        <v>1981</v>
      </c>
      <c r="B68" s="151">
        <f>('[2]S&amp;P 500 &amp; Raw Data'!B57-'[2]S&amp;P 500 &amp; Raw Data'!B56+'[2]S&amp;P 500 &amp; Raw Data'!C57)/'[2]S&amp;P 500 &amp; Raw Data'!B56</f>
        <v>-4.7023902474955762E-2</v>
      </c>
      <c r="C68" s="151">
        <f>'[2]T. Bill rates'!G60</f>
        <v>0.14299999999999999</v>
      </c>
      <c r="D68" s="151">
        <f>'[2]S&amp;P 500 &amp; Raw Data'!F57</f>
        <v>8.1992153358923542E-2</v>
      </c>
      <c r="E68" s="152">
        <f t="shared" si="6"/>
        <v>7561.1637327830058</v>
      </c>
      <c r="F68" s="152">
        <f t="shared" si="6"/>
        <v>512.72842368190686</v>
      </c>
      <c r="G68" s="152">
        <f t="shared" si="6"/>
        <v>484.91317021175587</v>
      </c>
      <c r="H68" s="153">
        <f t="shared" si="0"/>
        <v>-0.19002390247495576</v>
      </c>
      <c r="I68" s="154">
        <f t="shared" si="1"/>
        <v>-0.12901605583387932</v>
      </c>
      <c r="J68" s="153">
        <f t="shared" si="4"/>
        <v>5.3730990468644491E-2</v>
      </c>
    </row>
    <row r="69" spans="1:10">
      <c r="A69" s="150">
        <v>1982</v>
      </c>
      <c r="B69" s="151">
        <f>('[2]S&amp;P 500 &amp; Raw Data'!B58-'[2]S&amp;P 500 &amp; Raw Data'!B57+'[2]S&amp;P 500 &amp; Raw Data'!C58)/'[2]S&amp;P 500 &amp; Raw Data'!B57</f>
        <v>0.20419055079559353</v>
      </c>
      <c r="C69" s="151">
        <f>'[2]T. Bill rates'!G61</f>
        <v>0.1101</v>
      </c>
      <c r="D69" s="151">
        <f>'[2]S&amp;P 500 &amp; Raw Data'!F58</f>
        <v>0.32814549486295586</v>
      </c>
      <c r="E69" s="152">
        <f t="shared" si="6"/>
        <v>9105.0819200356327</v>
      </c>
      <c r="F69" s="152">
        <f t="shared" si="6"/>
        <v>569.17982312928484</v>
      </c>
      <c r="G69" s="152">
        <f t="shared" si="6"/>
        <v>644.03524241645721</v>
      </c>
      <c r="H69" s="153">
        <f t="shared" si="0"/>
        <v>9.4090550795593531E-2</v>
      </c>
      <c r="I69" s="154">
        <f t="shared" si="1"/>
        <v>-0.12395494406736232</v>
      </c>
      <c r="J69" s="153">
        <f t="shared" si="4"/>
        <v>5.1038688692139678E-2</v>
      </c>
    </row>
    <row r="70" spans="1:10">
      <c r="A70" s="150">
        <v>1983</v>
      </c>
      <c r="B70" s="151">
        <f>('[2]S&amp;P 500 &amp; Raw Data'!B59-'[2]S&amp;P 500 &amp; Raw Data'!B58+'[2]S&amp;P 500 &amp; Raw Data'!C59)/'[2]S&amp;P 500 &amp; Raw Data'!B58</f>
        <v>0.22337155858930619</v>
      </c>
      <c r="C70" s="151">
        <f>'[2]T. Bill rates'!G62</f>
        <v>8.4474999999999995E-2</v>
      </c>
      <c r="D70" s="151">
        <f>'[2]S&amp;P 500 &amp; Raw Data'!F59</f>
        <v>3.2002094451429264E-2</v>
      </c>
      <c r="E70" s="152">
        <f t="shared" si="6"/>
        <v>11138.898259597305</v>
      </c>
      <c r="F70" s="152">
        <f t="shared" si="6"/>
        <v>617.26128868813123</v>
      </c>
      <c r="G70" s="152">
        <f t="shared" si="6"/>
        <v>664.64571907431775</v>
      </c>
      <c r="H70" s="153">
        <f t="shared" si="0"/>
        <v>0.13889655858930619</v>
      </c>
      <c r="I70" s="154">
        <f t="shared" si="1"/>
        <v>0.19136946413787692</v>
      </c>
      <c r="J70" s="153">
        <f t="shared" si="4"/>
        <v>5.3402830654563971E-2</v>
      </c>
    </row>
    <row r="71" spans="1:10">
      <c r="A71" s="150">
        <v>1984</v>
      </c>
      <c r="B71" s="151">
        <f>('[2]S&amp;P 500 &amp; Raw Data'!B60-'[2]S&amp;P 500 &amp; Raw Data'!B59+'[2]S&amp;P 500 &amp; Raw Data'!C60)/'[2]S&amp;P 500 &amp; Raw Data'!B59</f>
        <v>6.14614199963621E-2</v>
      </c>
      <c r="C71" s="151">
        <f>'[2]T. Bill rates'!G63</f>
        <v>9.6125000000000002E-2</v>
      </c>
      <c r="D71" s="151">
        <f>'[2]S&amp;P 500 &amp; Raw Data'!F60</f>
        <v>0.13733364344102345</v>
      </c>
      <c r="E71" s="152">
        <f t="shared" si="6"/>
        <v>11823.510763827162</v>
      </c>
      <c r="F71" s="152">
        <f t="shared" si="6"/>
        <v>676.59553006327781</v>
      </c>
      <c r="G71" s="152">
        <f t="shared" si="6"/>
        <v>755.92393727227272</v>
      </c>
      <c r="H71" s="153">
        <f t="shared" si="0"/>
        <v>-3.4663580003637902E-2</v>
      </c>
      <c r="I71" s="154">
        <f t="shared" si="1"/>
        <v>-7.5872223444661352E-2</v>
      </c>
      <c r="J71" s="153">
        <f t="shared" si="4"/>
        <v>5.1212126318051387E-2</v>
      </c>
    </row>
    <row r="72" spans="1:10">
      <c r="A72" s="150">
        <v>1985</v>
      </c>
      <c r="B72" s="151">
        <f>('[2]S&amp;P 500 &amp; Raw Data'!B61-'[2]S&amp;P 500 &amp; Raw Data'!B60+'[2]S&amp;P 500 &amp; Raw Data'!C61)/'[2]S&amp;P 500 &amp; Raw Data'!B60</f>
        <v>0.31235149485768948</v>
      </c>
      <c r="C72" s="151">
        <f>'[2]T. Bill rates'!G64</f>
        <v>7.4874999999999997E-2</v>
      </c>
      <c r="D72" s="151">
        <f>'[2]S&amp;P 500 &amp; Raw Data'!F61</f>
        <v>0.2571248821260641</v>
      </c>
      <c r="E72" s="152">
        <f t="shared" si="6"/>
        <v>15516.602025374559</v>
      </c>
      <c r="F72" s="152">
        <f t="shared" si="6"/>
        <v>727.25562037676571</v>
      </c>
      <c r="G72" s="152">
        <f t="shared" si="6"/>
        <v>950.2907905396761</v>
      </c>
      <c r="H72" s="153">
        <f t="shared" si="0"/>
        <v>0.23747649485768949</v>
      </c>
      <c r="I72" s="154">
        <f t="shared" si="1"/>
        <v>5.522661273162538E-2</v>
      </c>
      <c r="J72" s="153">
        <f t="shared" si="4"/>
        <v>5.1284365102581608E-2</v>
      </c>
    </row>
    <row r="73" spans="1:10">
      <c r="A73" s="150">
        <v>1986</v>
      </c>
      <c r="B73" s="151">
        <f>('[2]S&amp;P 500 &amp; Raw Data'!B62-'[2]S&amp;P 500 &amp; Raw Data'!B61+'[2]S&amp;P 500 &amp; Raw Data'!C62)/'[2]S&amp;P 500 &amp; Raw Data'!B61</f>
        <v>0.18494578758046187</v>
      </c>
      <c r="C73" s="151">
        <f>'[2]T. Bill rates'!G65</f>
        <v>6.0350000000000001E-2</v>
      </c>
      <c r="D73" s="151">
        <f>'[2]S&amp;P 500 &amp; Raw Data'!F62</f>
        <v>0.24284215141767618</v>
      </c>
      <c r="E73" s="152">
        <f t="shared" si="6"/>
        <v>18386.332207530046</v>
      </c>
      <c r="F73" s="152">
        <f t="shared" si="6"/>
        <v>771.14549706650348</v>
      </c>
      <c r="G73" s="152">
        <f t="shared" si="6"/>
        <v>1181.0614505867354</v>
      </c>
      <c r="H73" s="153">
        <f t="shared" si="0"/>
        <v>0.12459578758046187</v>
      </c>
      <c r="I73" s="154">
        <f t="shared" si="1"/>
        <v>-5.7896363837214304E-2</v>
      </c>
      <c r="J73" s="153">
        <f t="shared" si="4"/>
        <v>4.9663565599739057E-2</v>
      </c>
    </row>
    <row r="74" spans="1:10">
      <c r="A74" s="150">
        <v>1987</v>
      </c>
      <c r="B74" s="151">
        <f>('[2]S&amp;P 500 &amp; Raw Data'!B63-'[2]S&amp;P 500 &amp; Raw Data'!B62+'[2]S&amp;P 500 &amp; Raw Data'!C63)/'[2]S&amp;P 500 &amp; Raw Data'!B62</f>
        <v>5.8127216418218712E-2</v>
      </c>
      <c r="C74" s="151">
        <f>'[2]T. Bill rates'!G66</f>
        <v>5.7224999999999998E-2</v>
      </c>
      <c r="D74" s="151">
        <f>'[2]S&amp;P 500 &amp; Raw Data'!F63</f>
        <v>-4.9605089379262279E-2</v>
      </c>
      <c r="E74" s="152">
        <f t="shared" si="6"/>
        <v>19455.07851889441</v>
      </c>
      <c r="F74" s="152">
        <f t="shared" si="6"/>
        <v>815.27429813613423</v>
      </c>
      <c r="G74" s="152">
        <f t="shared" si="6"/>
        <v>1122.4747917679792</v>
      </c>
      <c r="H74" s="153">
        <f t="shared" si="0"/>
        <v>9.0221641821871396E-4</v>
      </c>
      <c r="I74" s="154">
        <f t="shared" si="1"/>
        <v>0.107732305797481</v>
      </c>
      <c r="J74" s="153">
        <f t="shared" si="4"/>
        <v>5.0693590437507208E-2</v>
      </c>
    </row>
    <row r="75" spans="1:10">
      <c r="A75" s="150">
        <v>1988</v>
      </c>
      <c r="B75" s="151">
        <f>('[2]S&amp;P 500 &amp; Raw Data'!B64-'[2]S&amp;P 500 &amp; Raw Data'!B63+'[2]S&amp;P 500 &amp; Raw Data'!C64)/'[2]S&amp;P 500 &amp; Raw Data'!B63</f>
        <v>0.16537192812044688</v>
      </c>
      <c r="C75" s="151">
        <f>'[2]T. Bill rates'!G67</f>
        <v>6.4499999999999988E-2</v>
      </c>
      <c r="D75" s="151">
        <f>'[2]S&amp;P 500 &amp; Raw Data'!F64</f>
        <v>8.2235958434841674E-2</v>
      </c>
      <c r="E75" s="152">
        <f t="shared" si="6"/>
        <v>22672.402365298665</v>
      </c>
      <c r="F75" s="152">
        <f t="shared" si="6"/>
        <v>867.85949036591489</v>
      </c>
      <c r="G75" s="152">
        <f t="shared" si="6"/>
        <v>1214.7825820879684</v>
      </c>
      <c r="H75" s="153">
        <f t="shared" si="0"/>
        <v>0.10087192812044689</v>
      </c>
      <c r="I75" s="154">
        <f t="shared" si="1"/>
        <v>8.3135969685605202E-2</v>
      </c>
      <c r="J75" s="153">
        <f t="shared" si="4"/>
        <v>5.1199933578993884E-2</v>
      </c>
    </row>
    <row r="76" spans="1:10">
      <c r="A76" s="150">
        <v>1989</v>
      </c>
      <c r="B76" s="151">
        <f>('[2]S&amp;P 500 &amp; Raw Data'!B65-'[2]S&amp;P 500 &amp; Raw Data'!B64+'[2]S&amp;P 500 &amp; Raw Data'!C65)/'[2]S&amp;P 500 &amp; Raw Data'!B64</f>
        <v>0.31475183638196724</v>
      </c>
      <c r="C76" s="151">
        <f>'[2]T. Bill rates'!G68</f>
        <v>8.1099999999999992E-2</v>
      </c>
      <c r="D76" s="151">
        <f>'[2]S&amp;P 500 &amp; Raw Data'!F65</f>
        <v>0.17693647159446219</v>
      </c>
      <c r="E76" s="152">
        <f t="shared" si="6"/>
        <v>29808.582644967279</v>
      </c>
      <c r="F76" s="152">
        <f t="shared" si="6"/>
        <v>938.24289503459056</v>
      </c>
      <c r="G76" s="152">
        <f t="shared" si="6"/>
        <v>1429.7219259170236</v>
      </c>
      <c r="H76" s="153">
        <f t="shared" si="0"/>
        <v>0.23365183638196724</v>
      </c>
      <c r="I76" s="154">
        <f t="shared" si="1"/>
        <v>0.13781536478750506</v>
      </c>
      <c r="J76" s="153">
        <f t="shared" si="4"/>
        <v>5.240982169336883E-2</v>
      </c>
    </row>
    <row r="77" spans="1:10">
      <c r="A77" s="150">
        <v>1990</v>
      </c>
      <c r="B77" s="151">
        <f>('[2]S&amp;P 500 &amp; Raw Data'!B66-'[2]S&amp;P 500 &amp; Raw Data'!B65+'[2]S&amp;P 500 &amp; Raw Data'!C66)/'[2]S&amp;P 500 &amp; Raw Data'!B65</f>
        <v>-3.0644516129032118E-2</v>
      </c>
      <c r="C77" s="151">
        <f>'[2]T. Bill rates'!G69</f>
        <v>7.5500000000000012E-2</v>
      </c>
      <c r="D77" s="151">
        <f>'[2]S&amp;P 500 &amp; Raw Data'!F66</f>
        <v>6.2353753335533363E-2</v>
      </c>
      <c r="E77" s="152">
        <f t="shared" si="6"/>
        <v>28895.113053319994</v>
      </c>
      <c r="F77" s="152">
        <f t="shared" si="6"/>
        <v>1009.0802336097021</v>
      </c>
      <c r="G77" s="152">
        <f t="shared" si="6"/>
        <v>1518.8704542240573</v>
      </c>
      <c r="H77" s="153">
        <f t="shared" si="0"/>
        <v>-0.10614451612903213</v>
      </c>
      <c r="I77" s="154">
        <f t="shared" si="1"/>
        <v>-9.2998269464565478E-2</v>
      </c>
      <c r="J77" s="153">
        <f t="shared" si="4"/>
        <v>4.9979953137364364E-2</v>
      </c>
    </row>
    <row r="78" spans="1:10">
      <c r="A78" s="150">
        <v>1991</v>
      </c>
      <c r="B78" s="151">
        <f>('[2]S&amp;P 500 &amp; Raw Data'!B67-'[2]S&amp;P 500 &amp; Raw Data'!B66+'[2]S&amp;P 500 &amp; Raw Data'!C67)/'[2]S&amp;P 500 &amp; Raw Data'!B66</f>
        <v>0.30234843134879757</v>
      </c>
      <c r="C78" s="151">
        <f>'[2]T. Bill rates'!G70</f>
        <v>5.6100000000000011E-2</v>
      </c>
      <c r="D78" s="151">
        <f>'[2]S&amp;P 500 &amp; Raw Data'!F67</f>
        <v>0.15004510019517303</v>
      </c>
      <c r="E78" s="152">
        <f t="shared" si="6"/>
        <v>37631.505158637461</v>
      </c>
      <c r="F78" s="152">
        <f t="shared" si="6"/>
        <v>1065.6896347152065</v>
      </c>
      <c r="G78" s="152">
        <f t="shared" si="6"/>
        <v>1746.769523711594</v>
      </c>
      <c r="H78" s="153">
        <f t="shared" si="0"/>
        <v>0.24624843134879756</v>
      </c>
      <c r="I78" s="154">
        <f t="shared" si="1"/>
        <v>0.15230333115362454</v>
      </c>
      <c r="J78" s="153">
        <f t="shared" si="4"/>
        <v>5.13850639844049E-2</v>
      </c>
    </row>
    <row r="79" spans="1:10">
      <c r="A79" s="150">
        <v>1992</v>
      </c>
      <c r="B79" s="155">
        <f>('[2]S&amp;P 500 &amp; Raw Data'!B68-'[2]S&amp;P 500 &amp; Raw Data'!B67+'[2]S&amp;P 500 &amp; Raw Data'!C68)/'[2]S&amp;P 500 &amp; Raw Data'!B67</f>
        <v>7.493727972380064E-2</v>
      </c>
      <c r="C79" s="151">
        <f>'[2]T. Bill rates'!G71</f>
        <v>3.4049999999999997E-2</v>
      </c>
      <c r="D79" s="155">
        <f>'[2]S&amp;P 500 &amp; Raw Data'!F68</f>
        <v>9.3616373162079422E-2</v>
      </c>
      <c r="E79" s="152">
        <f t="shared" si="6"/>
        <v>40451.507787137925</v>
      </c>
      <c r="F79" s="152">
        <f t="shared" si="6"/>
        <v>1101.976366777259</v>
      </c>
      <c r="G79" s="152">
        <f t="shared" si="6"/>
        <v>1910.2957512715263</v>
      </c>
      <c r="H79" s="153">
        <f t="shared" ref="H79:H98" si="7">B79-C79</f>
        <v>4.0887279723800643E-2</v>
      </c>
      <c r="I79" s="154">
        <f t="shared" ref="I79:I98" si="8">B79-D79</f>
        <v>-1.8679093438278782E-2</v>
      </c>
      <c r="J79" s="153">
        <f t="shared" si="4"/>
        <v>5.0319857010869606E-2</v>
      </c>
    </row>
    <row r="80" spans="1:10">
      <c r="A80" s="150">
        <v>1993</v>
      </c>
      <c r="B80" s="155">
        <f>('[2]S&amp;P 500 &amp; Raw Data'!B69-'[2]S&amp;P 500 &amp; Raw Data'!B68+'[2]S&amp;P 500 &amp; Raw Data'!C69)/'[2]S&amp;P 500 &amp; Raw Data'!B68</f>
        <v>9.96705147919488E-2</v>
      </c>
      <c r="C80" s="151">
        <f>'[2]T. Bill rates'!G72</f>
        <v>2.9825000000000001E-2</v>
      </c>
      <c r="D80" s="155">
        <f>'[2]S&amp;P 500 &amp; Raw Data'!F69</f>
        <v>0.14210957589263107</v>
      </c>
      <c r="E80" s="152">
        <f t="shared" ref="E80:G95" si="9">E79*(1+B80)</f>
        <v>44483.33039239249</v>
      </c>
      <c r="F80" s="152">
        <f t="shared" si="9"/>
        <v>1134.8428119163907</v>
      </c>
      <c r="G80" s="152">
        <f t="shared" si="9"/>
        <v>2181.7670703142176</v>
      </c>
      <c r="H80" s="153">
        <f t="shared" si="7"/>
        <v>6.9845514791948796E-2</v>
      </c>
      <c r="I80" s="154">
        <f t="shared" si="8"/>
        <v>-4.2439061100682268E-2</v>
      </c>
      <c r="J80" s="153">
        <f t="shared" si="4"/>
        <v>4.8975937931758473E-2</v>
      </c>
    </row>
    <row r="81" spans="1:10">
      <c r="A81" s="150">
        <v>1994</v>
      </c>
      <c r="B81" s="155">
        <f>('[2]S&amp;P 500 &amp; Raw Data'!B70-'[2]S&amp;P 500 &amp; Raw Data'!B69+'[2]S&amp;P 500 &amp; Raw Data'!C70)/'[2]S&amp;P 500 &amp; Raw Data'!B69</f>
        <v>1.3259206774573897E-2</v>
      </c>
      <c r="C81" s="151">
        <f>'[2]T. Bill rates'!G73</f>
        <v>3.9850000000000003E-2</v>
      </c>
      <c r="D81" s="155">
        <f>'[2]S&amp;P 500 &amp; Raw Data'!F70</f>
        <v>-8.0366555509985921E-2</v>
      </c>
      <c r="E81" s="152">
        <f t="shared" si="9"/>
        <v>45073.144068086905</v>
      </c>
      <c r="F81" s="152">
        <f t="shared" si="9"/>
        <v>1180.0662979712588</v>
      </c>
      <c r="G81" s="152">
        <f t="shared" si="9"/>
        <v>2006.4259659479505</v>
      </c>
      <c r="H81" s="153">
        <f t="shared" si="7"/>
        <v>-2.6590793225426106E-2</v>
      </c>
      <c r="I81" s="154">
        <f t="shared" si="8"/>
        <v>9.3625762284559821E-2</v>
      </c>
      <c r="J81" s="153">
        <f t="shared" si="4"/>
        <v>4.9718636171719899E-2</v>
      </c>
    </row>
    <row r="82" spans="1:10">
      <c r="A82" s="150">
        <v>1995</v>
      </c>
      <c r="B82" s="155">
        <f>('[2]S&amp;P 500 &amp; Raw Data'!B71-'[2]S&amp;P 500 &amp; Raw Data'!B70+'[2]S&amp;P 500 &amp; Raw Data'!C71)/'[2]S&amp;P 500 &amp; Raw Data'!B70</f>
        <v>0.37195198902606308</v>
      </c>
      <c r="C82" s="151">
        <f>'[2]T. Bill rates'!G74</f>
        <v>5.5150000000000005E-2</v>
      </c>
      <c r="D82" s="155">
        <f>'[2]S&amp;P 500 &amp; Raw Data'!F71</f>
        <v>0.23480780112538907</v>
      </c>
      <c r="E82" s="152">
        <f t="shared" si="9"/>
        <v>61838.189655870119</v>
      </c>
      <c r="F82" s="152">
        <f t="shared" si="9"/>
        <v>1245.1469543043738</v>
      </c>
      <c r="G82" s="152">
        <f t="shared" si="9"/>
        <v>2477.5504351330737</v>
      </c>
      <c r="H82" s="153">
        <f t="shared" si="7"/>
        <v>0.31680198902606305</v>
      </c>
      <c r="I82" s="154">
        <f t="shared" si="8"/>
        <v>0.13714418790067401</v>
      </c>
      <c r="J82" s="153">
        <f t="shared" si="4"/>
        <v>5.0791451119413633E-2</v>
      </c>
    </row>
    <row r="83" spans="1:10">
      <c r="A83" s="150">
        <v>1996</v>
      </c>
      <c r="B83" s="155">
        <f>('[2]S&amp;P 500 &amp; Raw Data'!B72-'[2]S&amp;P 500 &amp; Raw Data'!B71+'[2]S&amp;P 500 &amp; Raw Data'!C72)/'[2]S&amp;P 500 &amp; Raw Data'!B71</f>
        <v>0.23817458802136615</v>
      </c>
      <c r="C83" s="151">
        <f>'[2]T. Bill rates'!G75</f>
        <v>5.0224999999999999E-2</v>
      </c>
      <c r="D83" s="155">
        <f>'[2]S&amp;P 500 &amp; Raw Data'!F72</f>
        <v>1.428607793401844E-2</v>
      </c>
      <c r="E83" s="152">
        <f t="shared" si="9"/>
        <v>76566.475001144092</v>
      </c>
      <c r="F83" s="152">
        <f t="shared" si="9"/>
        <v>1307.684460084311</v>
      </c>
      <c r="G83" s="152">
        <f t="shared" si="9"/>
        <v>2512.9449137348461</v>
      </c>
      <c r="H83" s="153">
        <f t="shared" si="7"/>
        <v>0.18794958802136616</v>
      </c>
      <c r="I83" s="154">
        <f t="shared" si="8"/>
        <v>0.22388851008734773</v>
      </c>
      <c r="J83" s="153">
        <f t="shared" si="4"/>
        <v>5.3192171006612776E-2</v>
      </c>
    </row>
    <row r="84" spans="1:10">
      <c r="A84" s="150">
        <v>1997</v>
      </c>
      <c r="B84" s="155">
        <f>('[2]S&amp;P 500 &amp; Raw Data'!B73-'[2]S&amp;P 500 &amp; Raw Data'!B72+'[2]S&amp;P 500 &amp; Raw Data'!C73)/'[2]S&amp;P 500 &amp; Raw Data'!B72</f>
        <v>0.31857597560649414</v>
      </c>
      <c r="C84" s="151">
        <f>'[2]T. Bill rates'!G76</f>
        <v>5.0525E-2</v>
      </c>
      <c r="D84" s="155">
        <f>'[2]S&amp;P 500 &amp; Raw Data'!F73</f>
        <v>9.939130272977531E-2</v>
      </c>
      <c r="E84" s="152">
        <f t="shared" si="9"/>
        <v>100958.71447338381</v>
      </c>
      <c r="F84" s="152">
        <f t="shared" si="9"/>
        <v>1373.7552174300708</v>
      </c>
      <c r="G84" s="152">
        <f t="shared" si="9"/>
        <v>2762.7097823991153</v>
      </c>
      <c r="H84" s="153">
        <f t="shared" si="7"/>
        <v>0.26805097560649416</v>
      </c>
      <c r="I84" s="154">
        <f t="shared" si="8"/>
        <v>0.21918467287671883</v>
      </c>
      <c r="J84" s="153">
        <f t="shared" si="4"/>
        <v>5.5312675796496347E-2</v>
      </c>
    </row>
    <row r="85" spans="1:10">
      <c r="A85" s="150">
        <v>1998</v>
      </c>
      <c r="B85" s="155">
        <f>('[2]S&amp;P 500 &amp; Raw Data'!B74-'[2]S&amp;P 500 &amp; Raw Data'!B73+'[2]S&amp;P 500 &amp; Raw Data'!C74)/'[2]S&amp;P 500 &amp; Raw Data'!B73</f>
        <v>0.28337953278443584</v>
      </c>
      <c r="C85" s="151">
        <f>'[2]T. Bill rates'!G77</f>
        <v>4.7274999999999998E-2</v>
      </c>
      <c r="D85" s="155">
        <f>'[2]S&amp;P 500 &amp; Raw Data'!F74</f>
        <v>0.14921431922606215</v>
      </c>
      <c r="E85" s="152">
        <f t="shared" si="9"/>
        <v>129568.34781136856</v>
      </c>
      <c r="F85" s="152">
        <f t="shared" si="9"/>
        <v>1438.6994953340775</v>
      </c>
      <c r="G85" s="152">
        <f t="shared" si="9"/>
        <v>3174.9456417989818</v>
      </c>
      <c r="H85" s="153">
        <f t="shared" si="7"/>
        <v>0.23610453278443583</v>
      </c>
      <c r="I85" s="154">
        <f t="shared" si="8"/>
        <v>0.13416521355837369</v>
      </c>
      <c r="J85" s="153">
        <f t="shared" si="4"/>
        <v>5.6303173908827553E-2</v>
      </c>
    </row>
    <row r="86" spans="1:10">
      <c r="A86" s="150">
        <v>1999</v>
      </c>
      <c r="B86" s="155">
        <f>('[2]S&amp;P 500 &amp; Raw Data'!B75-'[2]S&amp;P 500 &amp; Raw Data'!B74+'[2]S&amp;P 500 &amp; Raw Data'!C75)/'[2]S&amp;P 500 &amp; Raw Data'!B74</f>
        <v>0.20885350992084475</v>
      </c>
      <c r="C86" s="151">
        <f>'[2]T. Bill rates'!G78</f>
        <v>4.5100000000000001E-2</v>
      </c>
      <c r="D86" s="155">
        <f>'[2]S&amp;P 500 &amp; Raw Data'!F75</f>
        <v>-8.2542147962685761E-2</v>
      </c>
      <c r="E86" s="152">
        <f t="shared" si="9"/>
        <v>156629.15202641769</v>
      </c>
      <c r="F86" s="152">
        <f t="shared" si="9"/>
        <v>1503.5848425736442</v>
      </c>
      <c r="G86" s="152">
        <f t="shared" si="9"/>
        <v>2912.8788088601259</v>
      </c>
      <c r="H86" s="153">
        <f t="shared" si="7"/>
        <v>0.16375350992084475</v>
      </c>
      <c r="I86" s="154">
        <f t="shared" si="8"/>
        <v>0.2913956578835305</v>
      </c>
      <c r="J86" s="153">
        <f t="shared" si="4"/>
        <v>5.9631857016358536E-2</v>
      </c>
    </row>
    <row r="87" spans="1:10">
      <c r="A87" s="150">
        <v>2000</v>
      </c>
      <c r="B87" s="155">
        <f>('[2]S&amp;P 500 &amp; Raw Data'!B76-'[2]S&amp;P 500 &amp; Raw Data'!B75+'[2]S&amp;P 500 &amp; Raw Data'!C76)/'[2]S&amp;P 500 &amp; Raw Data'!B75</f>
        <v>-9.0318189552492781E-2</v>
      </c>
      <c r="C87" s="151">
        <f>'[2]T. Bill rates'!G79</f>
        <v>5.7625000000000003E-2</v>
      </c>
      <c r="D87" s="155">
        <f>'[2]S&amp;P 500 &amp; Raw Data'!F76</f>
        <v>0.16655267125397488</v>
      </c>
      <c r="E87" s="152">
        <f t="shared" si="9"/>
        <v>142482.69058424947</v>
      </c>
      <c r="F87" s="152">
        <f t="shared" si="9"/>
        <v>1590.2289191269506</v>
      </c>
      <c r="G87" s="152">
        <f t="shared" si="9"/>
        <v>3398.0265555148762</v>
      </c>
      <c r="H87" s="153">
        <f t="shared" si="7"/>
        <v>-0.14794318955249278</v>
      </c>
      <c r="I87" s="154">
        <f t="shared" si="8"/>
        <v>-0.25687086080646765</v>
      </c>
      <c r="J87" s="153">
        <f t="shared" si="4"/>
        <v>5.5109104451733337E-2</v>
      </c>
    </row>
    <row r="88" spans="1:10">
      <c r="A88" s="150">
        <v>2001</v>
      </c>
      <c r="B88" s="155">
        <f>('[2]S&amp;P 500 &amp; Raw Data'!B77-'[2]S&amp;P 500 &amp; Raw Data'!B76+'[2]S&amp;P 500 &amp; Raw Data'!C77)/'[2]S&amp;P 500 &amp; Raw Data'!B76</f>
        <v>-0.11849759142000185</v>
      </c>
      <c r="C88" s="151">
        <f>'[2]T. Bill rates'!G80</f>
        <v>3.6725000000000001E-2</v>
      </c>
      <c r="D88" s="155">
        <f>'[2]S&amp;P 500 &amp; Raw Data'!F77</f>
        <v>5.5721811892492555E-2</v>
      </c>
      <c r="E88" s="152">
        <f t="shared" si="9"/>
        <v>125598.83493097454</v>
      </c>
      <c r="F88" s="152">
        <f t="shared" si="9"/>
        <v>1648.6300761818877</v>
      </c>
      <c r="G88" s="152">
        <f t="shared" si="9"/>
        <v>3587.3707520469702</v>
      </c>
      <c r="H88" s="153">
        <f t="shared" si="7"/>
        <v>-0.15522259142000186</v>
      </c>
      <c r="I88" s="154">
        <f t="shared" si="8"/>
        <v>-0.17421940331249441</v>
      </c>
      <c r="J88" s="153">
        <f t="shared" si="4"/>
        <v>5.1662600225616639E-2</v>
      </c>
    </row>
    <row r="89" spans="1:10">
      <c r="A89" s="156">
        <v>2002</v>
      </c>
      <c r="B89" s="155">
        <f>('[2]S&amp;P 500 &amp; Raw Data'!B78-'[2]S&amp;P 500 &amp; Raw Data'!B77+'[2]S&amp;P 500 &amp; Raw Data'!C78)/'[2]S&amp;P 500 &amp; Raw Data'!B77</f>
        <v>-0.21966047957912699</v>
      </c>
      <c r="C89" s="151">
        <f>'[2]T. Bill rates'!G81</f>
        <v>1.6574999999999999E-2</v>
      </c>
      <c r="D89" s="155">
        <f>'[2]S&amp;P 500 &amp; Raw Data'!F78</f>
        <v>0.15116400378109285</v>
      </c>
      <c r="E89" s="152">
        <f t="shared" si="9"/>
        <v>98009.734615457055</v>
      </c>
      <c r="F89" s="152">
        <f t="shared" si="9"/>
        <v>1675.9561196946024</v>
      </c>
      <c r="G89" s="152">
        <f t="shared" si="9"/>
        <v>4129.6520779735802</v>
      </c>
      <c r="H89" s="153">
        <f t="shared" si="7"/>
        <v>-0.23623547957912699</v>
      </c>
      <c r="I89" s="154">
        <f t="shared" si="8"/>
        <v>-0.37082448336021984</v>
      </c>
      <c r="J89" s="153">
        <f t="shared" si="4"/>
        <v>4.5322753501771729E-2</v>
      </c>
    </row>
    <row r="90" spans="1:10">
      <c r="A90" s="156">
        <v>2003</v>
      </c>
      <c r="B90" s="155">
        <f>('[2]S&amp;P 500 &amp; Raw Data'!B79-'[2]S&amp;P 500 &amp; Raw Data'!B78+'[2]S&amp;P 500 &amp; Raw Data'!C79)/'[2]S&amp;P 500 &amp; Raw Data'!B78</f>
        <v>0.28355800050010233</v>
      </c>
      <c r="C90" s="151">
        <f>'[2]T. Bill rates'!G82</f>
        <v>1.03E-2</v>
      </c>
      <c r="D90" s="155">
        <f>'[2]S&amp;P 500 &amp; Raw Data'!F79</f>
        <v>3.7531858817758529E-3</v>
      </c>
      <c r="E90" s="152">
        <f t="shared" si="9"/>
        <v>125801.17899256173</v>
      </c>
      <c r="F90" s="152">
        <f t="shared" si="9"/>
        <v>1693.2184677274568</v>
      </c>
      <c r="G90" s="152">
        <f t="shared" si="9"/>
        <v>4145.1514298492766</v>
      </c>
      <c r="H90" s="153">
        <f t="shared" si="7"/>
        <v>0.27325800050010235</v>
      </c>
      <c r="I90" s="154">
        <f t="shared" si="8"/>
        <v>0.27980481461832646</v>
      </c>
      <c r="J90" s="153">
        <f t="shared" si="4"/>
        <v>4.8235129792344456E-2</v>
      </c>
    </row>
    <row r="91" spans="1:10">
      <c r="A91" s="156">
        <v>2004</v>
      </c>
      <c r="B91" s="155">
        <f>('[2]S&amp;P 500 &amp; Raw Data'!B80-'[2]S&amp;P 500 &amp; Raw Data'!B79+'[2]S&amp;P 500 &amp; Raw Data'!C80)/'[2]S&amp;P 500 &amp; Raw Data'!B79</f>
        <v>0.10742775944096193</v>
      </c>
      <c r="C91" s="151">
        <f>'[2]T. Bill rates'!G83</f>
        <v>1.2275000000000001E-2</v>
      </c>
      <c r="D91" s="155">
        <f>'[2]S&amp;P 500 &amp; Raw Data'!F80</f>
        <v>4.490683702274547E-2</v>
      </c>
      <c r="E91" s="152">
        <f t="shared" si="9"/>
        <v>139315.71778676403</v>
      </c>
      <c r="F91" s="152">
        <f t="shared" si="9"/>
        <v>1714.0027244188113</v>
      </c>
      <c r="G91" s="152">
        <f t="shared" si="9"/>
        <v>4331.2970695441181</v>
      </c>
      <c r="H91" s="153">
        <f t="shared" si="7"/>
        <v>9.5152759440961937E-2</v>
      </c>
      <c r="I91" s="154">
        <f t="shared" si="8"/>
        <v>6.2520922418216468E-2</v>
      </c>
      <c r="J91" s="153">
        <f t="shared" si="4"/>
        <v>4.8420366493855838E-2</v>
      </c>
    </row>
    <row r="92" spans="1:10">
      <c r="A92" s="156">
        <v>2005</v>
      </c>
      <c r="B92" s="155">
        <f>('[2]S&amp;P 500 &amp; Raw Data'!B81-'[2]S&amp;P 500 &amp; Raw Data'!B80+'[2]S&amp;P 500 &amp; Raw Data'!C81)/'[2]S&amp;P 500 &amp; Raw Data'!B80</f>
        <v>4.8344775232688535E-2</v>
      </c>
      <c r="C92" s="151">
        <f>'[2]T. Bill rates'!G84</f>
        <v>3.0099999999999998E-2</v>
      </c>
      <c r="D92" s="155">
        <f>'[2]S&amp;P 500 &amp; Raw Data'!F81</f>
        <v>2.8675329597779506E-2</v>
      </c>
      <c r="E92" s="152">
        <f t="shared" si="9"/>
        <v>146050.9048495458</v>
      </c>
      <c r="F92" s="152">
        <f t="shared" si="9"/>
        <v>1765.5942064238177</v>
      </c>
      <c r="G92" s="152">
        <f t="shared" si="9"/>
        <v>4455.4984405991927</v>
      </c>
      <c r="H92" s="153">
        <f t="shared" si="7"/>
        <v>1.8244775232688536E-2</v>
      </c>
      <c r="I92" s="154">
        <f t="shared" si="8"/>
        <v>1.9669445634909029E-2</v>
      </c>
      <c r="J92" s="153">
        <f t="shared" si="4"/>
        <v>4.8039592729194558E-2</v>
      </c>
    </row>
    <row r="93" spans="1:10">
      <c r="A93" s="156">
        <v>2006</v>
      </c>
      <c r="B93" s="155">
        <f>('[2]S&amp;P 500 &amp; Raw Data'!B82-'[2]S&amp;P 500 &amp; Raw Data'!B81+'[2]S&amp;P 500 &amp; Raw Data'!C82)/'[2]S&amp;P 500 &amp; Raw Data'!B81</f>
        <v>0.15612557979315703</v>
      </c>
      <c r="C93" s="151">
        <f>'[2]T. Bill rates'!G85</f>
        <v>4.6775000000000004E-2</v>
      </c>
      <c r="D93" s="155">
        <f>'[2]S&amp;P 500 &amp; Raw Data'!F82</f>
        <v>1.9610012417568386E-2</v>
      </c>
      <c r="E93" s="152">
        <f t="shared" si="9"/>
        <v>168853.18704849636</v>
      </c>
      <c r="F93" s="152">
        <f t="shared" si="9"/>
        <v>1848.1798754292918</v>
      </c>
      <c r="G93" s="152">
        <f t="shared" si="9"/>
        <v>4542.8708203458</v>
      </c>
      <c r="H93" s="153">
        <f t="shared" si="7"/>
        <v>0.10935057979315702</v>
      </c>
      <c r="I93" s="154">
        <f t="shared" si="8"/>
        <v>0.13651556737558865</v>
      </c>
      <c r="J93" s="153">
        <f t="shared" si="4"/>
        <v>4.9146470524072061E-2</v>
      </c>
    </row>
    <row r="94" spans="1:10">
      <c r="A94" s="156">
        <v>2007</v>
      </c>
      <c r="B94" s="155">
        <f>('[2]S&amp;P 500 &amp; Raw Data'!B83-'[2]S&amp;P 500 &amp; Raw Data'!B82+'[2]S&amp;P 500 &amp; Raw Data'!C83)/'[2]S&amp;P 500 &amp; Raw Data'!B82</f>
        <v>5.4847352464217694E-2</v>
      </c>
      <c r="C94" s="151">
        <f>'[2]T. Bill rates'!G86</f>
        <v>4.6425000000000001E-2</v>
      </c>
      <c r="D94" s="155">
        <f>'[2]S&amp;P 500 &amp; Raw Data'!F83</f>
        <v>0.10209921930012807</v>
      </c>
      <c r="E94" s="152">
        <f t="shared" si="9"/>
        <v>178114.33731325172</v>
      </c>
      <c r="F94" s="152">
        <f t="shared" si="9"/>
        <v>1933.9816261460965</v>
      </c>
      <c r="G94" s="152">
        <f t="shared" si="9"/>
        <v>5006.6943844844382</v>
      </c>
      <c r="H94" s="153">
        <f t="shared" si="7"/>
        <v>8.4223524642176931E-3</v>
      </c>
      <c r="I94" s="154">
        <f t="shared" si="8"/>
        <v>-4.7251866835910372E-2</v>
      </c>
      <c r="J94" s="153">
        <f t="shared" si="4"/>
        <v>4.7946180113691783E-2</v>
      </c>
    </row>
    <row r="95" spans="1:10">
      <c r="A95" s="156">
        <v>2008</v>
      </c>
      <c r="B95" s="155">
        <f>('[2]S&amp;P 500 &amp; Raw Data'!B84-'[2]S&amp;P 500 &amp; Raw Data'!B83+'[2]S&amp;P 500 &amp; Raw Data'!C84)/'[2]S&amp;P 500 &amp; Raw Data'!B83</f>
        <v>-0.36552344111798191</v>
      </c>
      <c r="C95" s="151">
        <f>'[2]T. Bill rates'!G87</f>
        <v>1.585E-2</v>
      </c>
      <c r="D95" s="155">
        <f>'[2]S&amp;P 500 &amp; Raw Data'!F84</f>
        <v>0.20101279926977011</v>
      </c>
      <c r="E95" s="152">
        <f t="shared" si="9"/>
        <v>113009.37182606297</v>
      </c>
      <c r="F95" s="152">
        <f t="shared" si="9"/>
        <v>1964.6352349205119</v>
      </c>
      <c r="G95" s="152">
        <f t="shared" si="9"/>
        <v>6013.1040377978934</v>
      </c>
      <c r="H95" s="153">
        <f t="shared" si="7"/>
        <v>-0.38137344111798188</v>
      </c>
      <c r="I95" s="154">
        <f t="shared" si="8"/>
        <v>-0.56653624038775208</v>
      </c>
      <c r="J95" s="153">
        <f t="shared" si="4"/>
        <v>3.8793384883277993E-2</v>
      </c>
    </row>
    <row r="96" spans="1:10">
      <c r="A96" s="156">
        <v>2009</v>
      </c>
      <c r="B96" s="155">
        <f>('[2]S&amp;P 500 &amp; Raw Data'!B85-'[2]S&amp;P 500 &amp; Raw Data'!B84+'[2]S&amp;P 500 &amp; Raw Data'!C85)/'[2]S&amp;P 500 &amp; Raw Data'!B84</f>
        <v>0.25935233877663982</v>
      </c>
      <c r="C96" s="151">
        <f>'[2]T. Bill rates'!G88</f>
        <v>1.3500000000000001E-3</v>
      </c>
      <c r="D96" s="155">
        <f>'[2]S&amp;P 500 &amp; Raw Data'!F85</f>
        <v>-0.11116695313259162</v>
      </c>
      <c r="E96" s="152">
        <f t="shared" ref="E96:G98" si="10">E95*(1+B96)</f>
        <v>142318.61671283131</v>
      </c>
      <c r="F96" s="152">
        <f t="shared" si="10"/>
        <v>1967.2874924876546</v>
      </c>
      <c r="G96" s="152">
        <f t="shared" si="10"/>
        <v>5344.6455830466175</v>
      </c>
      <c r="H96" s="153">
        <f t="shared" si="7"/>
        <v>0.25800233877663981</v>
      </c>
      <c r="I96" s="154">
        <f t="shared" si="8"/>
        <v>0.37051929190923144</v>
      </c>
      <c r="J96" s="153">
        <f t="shared" si="4"/>
        <v>4.2866048133558543E-2</v>
      </c>
    </row>
    <row r="97" spans="1:10">
      <c r="A97" s="156">
        <v>2010</v>
      </c>
      <c r="B97" s="155">
        <f>('[2]S&amp;P 500 &amp; Raw Data'!B86-'[2]S&amp;P 500 &amp; Raw Data'!B85+'[2]S&amp;P 500 &amp; Raw Data'!C86)/'[2]S&amp;P 500 &amp; Raw Data'!B85</f>
        <v>0.14821092278719414</v>
      </c>
      <c r="C97" s="157">
        <v>1.2999999999999999E-3</v>
      </c>
      <c r="D97" s="155">
        <f>'[2]S&amp;P 500 &amp; Raw Data'!F86</f>
        <v>8.4629338803557719E-2</v>
      </c>
      <c r="E97" s="152">
        <f t="shared" si="10"/>
        <v>163411.79022563703</v>
      </c>
      <c r="F97" s="152">
        <f t="shared" si="10"/>
        <v>1969.8449662278888</v>
      </c>
      <c r="G97" s="152">
        <f t="shared" si="10"/>
        <v>5796.9594048792078</v>
      </c>
      <c r="H97" s="153">
        <f t="shared" si="7"/>
        <v>0.14691092278719414</v>
      </c>
      <c r="I97" s="154">
        <f t="shared" si="8"/>
        <v>6.3581583983636419E-2</v>
      </c>
      <c r="J97" s="153">
        <f t="shared" si="4"/>
        <v>4.3106086594790538E-2</v>
      </c>
    </row>
    <row r="98" spans="1:10">
      <c r="A98" s="156">
        <v>2011</v>
      </c>
      <c r="B98" s="155">
        <f>('[2]S&amp;P 500 &amp; Raw Data'!B87-'[2]S&amp;P 500 &amp; Raw Data'!B86+'[2]S&amp;P 500 &amp; Raw Data'!C87)/'[2]S&amp;P 500 &amp; Raw Data'!B86</f>
        <v>2.065773989376913E-2</v>
      </c>
      <c r="C98" s="158">
        <v>2.9999999999999997E-4</v>
      </c>
      <c r="D98" s="155">
        <f>'[2]S&amp;P 500 &amp; Raw Data'!F87</f>
        <v>0.16035334999461354</v>
      </c>
      <c r="E98" s="152">
        <f t="shared" si="10"/>
        <v>166787.50848369338</v>
      </c>
      <c r="F98" s="152">
        <f t="shared" si="10"/>
        <v>1970.4359197177571</v>
      </c>
      <c r="G98" s="152">
        <f t="shared" si="10"/>
        <v>6726.5212652343698</v>
      </c>
      <c r="H98" s="153">
        <f t="shared" si="7"/>
        <v>2.0357739893769128E-2</v>
      </c>
      <c r="I98" s="154">
        <f t="shared" si="8"/>
        <v>-0.13969561010084441</v>
      </c>
      <c r="J98" s="153">
        <f t="shared" si="4"/>
        <v>4.096387707707172E-2</v>
      </c>
    </row>
    <row r="99" spans="1:10" ht="18.75">
      <c r="A99" s="159" t="s">
        <v>303</v>
      </c>
      <c r="B99" s="160">
        <f>AVERAGE(B79:B98)</f>
        <v>9.4666368193432701E-2</v>
      </c>
      <c r="C99" s="159"/>
      <c r="D99" s="160">
        <f>AVERAGE(D79:D98)</f>
        <v>7.3891417634009554E-2</v>
      </c>
    </row>
    <row r="102" spans="1:10">
      <c r="A102" s="161" t="s">
        <v>304</v>
      </c>
      <c r="B102" s="162"/>
      <c r="C102" s="162"/>
      <c r="D102" s="162"/>
      <c r="F102" s="241" t="s">
        <v>305</v>
      </c>
      <c r="G102" s="242"/>
      <c r="H102" s="243" t="s">
        <v>306</v>
      </c>
      <c r="I102" s="243"/>
    </row>
    <row r="103" spans="1:10">
      <c r="A103" s="150" t="s">
        <v>307</v>
      </c>
      <c r="B103" s="151">
        <f>AVERAGE(B15:B98)</f>
        <v>0.11204687866840085</v>
      </c>
      <c r="C103" s="151">
        <f>AVERAGE(C15:C98)</f>
        <v>3.6557440476190479E-2</v>
      </c>
      <c r="D103" s="151">
        <f>AVERAGE(D15:D98)</f>
        <v>5.410199544794958E-2</v>
      </c>
      <c r="F103" s="149" t="s">
        <v>308</v>
      </c>
      <c r="G103" s="149" t="s">
        <v>309</v>
      </c>
      <c r="H103" s="149" t="s">
        <v>308</v>
      </c>
      <c r="I103" s="149" t="s">
        <v>309</v>
      </c>
    </row>
    <row r="104" spans="1:10">
      <c r="A104" s="150" t="s">
        <v>310</v>
      </c>
      <c r="B104" s="151">
        <f>AVERAGE(B49:B98)</f>
        <v>0.10604337245518197</v>
      </c>
      <c r="C104" s="151">
        <f>AVERAGE(C49:C98)</f>
        <v>5.2248500000000003E-2</v>
      </c>
      <c r="D104" s="151">
        <f>AVERAGE(D49:D98)</f>
        <v>7.2425307909881387E-2</v>
      </c>
      <c r="F104" s="163">
        <f>B103-C103</f>
        <v>7.5489438192210379E-2</v>
      </c>
      <c r="G104" s="163">
        <f>B103-D103</f>
        <v>5.7944883220451271E-2</v>
      </c>
      <c r="H104" s="163">
        <f>STDEV(H15:H98)/(($A$98-$A$15+1)^0.5)</f>
        <v>2.2242835894974486E-2</v>
      </c>
      <c r="I104" s="163">
        <f>STDEV(I15:I98)/(($A$98-$A$15+1)^0.5)</f>
        <v>2.3589445292858252E-2</v>
      </c>
    </row>
    <row r="105" spans="1:10">
      <c r="A105" s="150" t="s">
        <v>311</v>
      </c>
      <c r="B105" s="151">
        <f>AVERAGE(B89:B98)</f>
        <v>4.9334054819162171E-2</v>
      </c>
      <c r="C105" s="151">
        <f>AVERAGE(C89:C98)</f>
        <v>1.8124999999999999E-2</v>
      </c>
      <c r="D105" s="151">
        <f>AVERAGE(D89:D98)</f>
        <v>6.8503712293643979E-2</v>
      </c>
      <c r="F105" s="163">
        <f>B104-C104</f>
        <v>5.3794872455181969E-2</v>
      </c>
      <c r="G105" s="163">
        <f>B104-D104</f>
        <v>3.3618064545300586E-2</v>
      </c>
      <c r="H105" s="163">
        <f>STDEV(H49:H98)/(($A$98-$A$49+1)^0.5)</f>
        <v>2.3943435760521856E-2</v>
      </c>
      <c r="I105" s="163">
        <f>STDEV(I49:I98)/(($A$98-$A$49+1)^0.5)</f>
        <v>2.6824795050436449E-2</v>
      </c>
    </row>
    <row r="106" spans="1:10">
      <c r="F106" s="163">
        <f>B105-C105</f>
        <v>3.1209054819162172E-2</v>
      </c>
      <c r="G106" s="163">
        <f>B105-D105</f>
        <v>-1.9169657474481808E-2</v>
      </c>
      <c r="H106" s="163">
        <f>STDEV(H89:H98)/(($A$98-$A$89+1)^0.5)</f>
        <v>6.4649538591551481E-2</v>
      </c>
      <c r="I106" s="163">
        <f>STDEV(I89:I98)/(($A$98-$A$89+1)^0.5)</f>
        <v>8.9386619966050948E-2</v>
      </c>
    </row>
    <row r="107" spans="1:10">
      <c r="A107" s="164" t="s">
        <v>312</v>
      </c>
      <c r="F107" s="165" t="s">
        <v>305</v>
      </c>
    </row>
    <row r="108" spans="1:10">
      <c r="A108" s="150" t="s">
        <v>307</v>
      </c>
      <c r="B108" s="166">
        <f>(E98/100)^(1/(A98-A15+1))-1</f>
        <v>9.2343149850035333E-2</v>
      </c>
      <c r="C108" s="166">
        <f>(F98/100)^(1/(A98-A15+1))-1</f>
        <v>3.6123338306334185E-2</v>
      </c>
      <c r="D108" s="166">
        <f>(G98/100)^(1/(A98-A15+1))-1</f>
        <v>5.1379272772963613E-2</v>
      </c>
      <c r="F108" s="149" t="s">
        <v>308</v>
      </c>
      <c r="G108" s="149" t="s">
        <v>309</v>
      </c>
    </row>
    <row r="109" spans="1:10">
      <c r="A109" s="150" t="s">
        <v>310</v>
      </c>
      <c r="B109" s="166">
        <f>(E98/E48)^(1/($A$98-$A$48))-1</f>
        <v>9.2023457479323278E-2</v>
      </c>
      <c r="C109" s="166">
        <f>(F98/F48)^(1/($A$98-$A$48))-1</f>
        <v>5.1856350576089394E-2</v>
      </c>
      <c r="D109" s="166">
        <f>(G98/G48)^(1/($A$98-$A$48))-1</f>
        <v>6.8541727190353008E-2</v>
      </c>
      <c r="F109" s="163">
        <f>B108-C108</f>
        <v>5.6219811543701148E-2</v>
      </c>
      <c r="G109" s="163">
        <f>B108-D108</f>
        <v>4.096387707707172E-2</v>
      </c>
    </row>
    <row r="110" spans="1:10">
      <c r="A110" s="150" t="s">
        <v>311</v>
      </c>
      <c r="B110" s="166">
        <f>(E98/E88)^(1/($A$98-$A$88))-1</f>
        <v>2.8768814968312961E-2</v>
      </c>
      <c r="C110" s="166">
        <f>(F98/F88)^(1/($A$98-$A$88))-1</f>
        <v>1.7990932697444562E-2</v>
      </c>
      <c r="D110" s="166">
        <f>(G98/G88)^(1/($A$98-$A$88))-1</f>
        <v>6.4881851790757672E-2</v>
      </c>
      <c r="F110" s="163">
        <f>B109-C109</f>
        <v>4.0167106903233885E-2</v>
      </c>
      <c r="G110" s="163">
        <f>B109-D109</f>
        <v>2.3481730288970271E-2</v>
      </c>
    </row>
    <row r="111" spans="1:10">
      <c r="F111" s="163">
        <f>B110-C110</f>
        <v>1.07778822708684E-2</v>
      </c>
      <c r="G111" s="163">
        <f>B110-D110</f>
        <v>-3.6113036822444711E-2</v>
      </c>
    </row>
  </sheetData>
  <mergeCells count="2">
    <mergeCell ref="F102:G102"/>
    <mergeCell ref="H102:I102"/>
  </mergeCells>
  <printOptions horizontalCentered="1" verticalCentered="1"/>
  <pageMargins left="0.17" right="0.36" top="0.37" bottom="0.51" header="0.31496062992125984" footer="0.31496062992125984"/>
  <pageSetup paperSize="9" scale="46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88"/>
  <sheetViews>
    <sheetView workbookViewId="0"/>
  </sheetViews>
  <sheetFormatPr baseColWidth="10" defaultRowHeight="15"/>
  <cols>
    <col min="2" max="2" width="15.7109375" customWidth="1"/>
    <col min="3" max="3" width="15.28515625" customWidth="1"/>
  </cols>
  <sheetData>
    <row r="2" spans="2:3" ht="21">
      <c r="B2" s="169" t="s">
        <v>579</v>
      </c>
    </row>
    <row r="4" spans="2:3" s="197" customFormat="1" ht="15.75">
      <c r="B4" s="196" t="s">
        <v>493</v>
      </c>
    </row>
    <row r="5" spans="2:3" s="197" customFormat="1" ht="12.75">
      <c r="B5" s="198"/>
    </row>
    <row r="6" spans="2:3" s="197" customFormat="1" ht="12.75">
      <c r="B6" s="199" t="s">
        <v>494</v>
      </c>
    </row>
    <row r="9" spans="2:3" ht="24">
      <c r="B9" s="200" t="s">
        <v>495</v>
      </c>
      <c r="C9" s="200" t="s">
        <v>496</v>
      </c>
    </row>
    <row r="10" spans="2:3">
      <c r="B10" s="201" t="s">
        <v>497</v>
      </c>
      <c r="C10" s="202">
        <v>123.04761904761899</v>
      </c>
    </row>
    <row r="11" spans="2:3">
      <c r="B11" s="201" t="s">
        <v>498</v>
      </c>
      <c r="C11" s="202">
        <v>127.210526315789</v>
      </c>
    </row>
    <row r="12" spans="2:3">
      <c r="B12" s="201" t="s">
        <v>499</v>
      </c>
      <c r="C12" s="202">
        <v>131.81818181818201</v>
      </c>
    </row>
    <row r="13" spans="2:3">
      <c r="B13" s="201" t="s">
        <v>500</v>
      </c>
      <c r="C13" s="202">
        <v>117.75</v>
      </c>
    </row>
    <row r="14" spans="2:3">
      <c r="B14" s="201" t="s">
        <v>501</v>
      </c>
      <c r="C14" s="202">
        <v>110</v>
      </c>
    </row>
    <row r="15" spans="2:3">
      <c r="B15" s="201" t="s">
        <v>502</v>
      </c>
      <c r="C15" s="202">
        <v>103.95238095238101</v>
      </c>
    </row>
    <row r="16" spans="2:3">
      <c r="B16" s="201" t="s">
        <v>503</v>
      </c>
      <c r="C16" s="202">
        <v>129.47619047619</v>
      </c>
    </row>
    <row r="17" spans="2:3">
      <c r="B17" s="201" t="s">
        <v>504</v>
      </c>
      <c r="C17" s="202">
        <v>168.91304347826099</v>
      </c>
    </row>
    <row r="18" spans="2:3">
      <c r="B18" s="201" t="s">
        <v>505</v>
      </c>
      <c r="C18" s="202">
        <v>155.69999999999999</v>
      </c>
    </row>
    <row r="19" spans="2:3">
      <c r="B19" s="201" t="s">
        <v>506</v>
      </c>
      <c r="C19" s="202">
        <v>138.59090909090901</v>
      </c>
    </row>
    <row r="20" spans="2:3">
      <c r="B20" s="201" t="s">
        <v>507</v>
      </c>
      <c r="C20" s="202">
        <v>174.9</v>
      </c>
    </row>
    <row r="21" spans="2:3">
      <c r="B21" s="201" t="s">
        <v>508</v>
      </c>
      <c r="C21" s="202">
        <v>174.95</v>
      </c>
    </row>
    <row r="22" spans="2:3">
      <c r="B22" s="201" t="s">
        <v>509</v>
      </c>
      <c r="C22" s="202">
        <v>195.142857142857</v>
      </c>
    </row>
    <row r="23" spans="2:3">
      <c r="B23" s="201" t="s">
        <v>510</v>
      </c>
      <c r="C23" s="202">
        <v>208.65</v>
      </c>
    </row>
    <row r="24" spans="2:3">
      <c r="B24" s="201" t="s">
        <v>511</v>
      </c>
      <c r="C24" s="202">
        <v>220.9</v>
      </c>
    </row>
    <row r="25" spans="2:3">
      <c r="B25" s="201" t="s">
        <v>512</v>
      </c>
      <c r="C25" s="202">
        <v>181.59090909090901</v>
      </c>
    </row>
    <row r="26" spans="2:3">
      <c r="B26" s="201" t="s">
        <v>513</v>
      </c>
      <c r="C26" s="202">
        <v>154.09523809523799</v>
      </c>
    </row>
    <row r="27" spans="2:3">
      <c r="B27" s="201" t="s">
        <v>514</v>
      </c>
      <c r="C27" s="202">
        <v>160.28571428571399</v>
      </c>
    </row>
    <row r="28" spans="2:3">
      <c r="B28" s="201" t="s">
        <v>515</v>
      </c>
      <c r="C28" s="202">
        <v>197.59090909090901</v>
      </c>
    </row>
    <row r="29" spans="2:3">
      <c r="B29" s="201" t="s">
        <v>516</v>
      </c>
      <c r="C29" s="202">
        <v>195.28571428571399</v>
      </c>
    </row>
    <row r="30" spans="2:3">
      <c r="B30" s="201" t="s">
        <v>517</v>
      </c>
      <c r="C30" s="202">
        <v>257.76190476190499</v>
      </c>
    </row>
    <row r="31" spans="2:3">
      <c r="B31" s="201" t="s">
        <v>518</v>
      </c>
      <c r="C31" s="202">
        <v>475.350476190476</v>
      </c>
    </row>
    <row r="32" spans="2:3">
      <c r="B32" s="201" t="s">
        <v>519</v>
      </c>
      <c r="C32" s="202">
        <v>479</v>
      </c>
    </row>
    <row r="33" spans="2:3">
      <c r="B33" s="201" t="s">
        <v>520</v>
      </c>
      <c r="C33" s="202">
        <v>523.68181818181802</v>
      </c>
    </row>
    <row r="34" spans="2:3">
      <c r="B34" s="201" t="s">
        <v>521</v>
      </c>
      <c r="C34" s="202">
        <v>460.05</v>
      </c>
    </row>
    <row r="35" spans="2:3">
      <c r="B35" s="201" t="s">
        <v>522</v>
      </c>
      <c r="C35" s="202">
        <v>419.052631578947</v>
      </c>
    </row>
    <row r="36" spans="2:3">
      <c r="B36" s="201" t="s">
        <v>523</v>
      </c>
      <c r="C36" s="202">
        <v>408.90909090909099</v>
      </c>
    </row>
    <row r="37" spans="2:3">
      <c r="B37" s="201" t="s">
        <v>524</v>
      </c>
      <c r="C37" s="202">
        <v>359.57142857142901</v>
      </c>
    </row>
    <row r="38" spans="2:3">
      <c r="B38" s="201" t="s">
        <v>525</v>
      </c>
      <c r="C38" s="202">
        <v>292.14999999999998</v>
      </c>
    </row>
    <row r="39" spans="2:3">
      <c r="B39" s="201" t="s">
        <v>526</v>
      </c>
      <c r="C39" s="202">
        <v>257.5</v>
      </c>
    </row>
    <row r="40" spans="2:3">
      <c r="B40" s="201" t="s">
        <v>527</v>
      </c>
      <c r="C40" s="202">
        <v>273.86363636363598</v>
      </c>
    </row>
    <row r="41" spans="2:3">
      <c r="B41" s="201" t="s">
        <v>528</v>
      </c>
      <c r="C41" s="202">
        <v>240</v>
      </c>
    </row>
    <row r="42" spans="2:3">
      <c r="B42" s="201" t="s">
        <v>529</v>
      </c>
      <c r="C42" s="202">
        <v>225.95</v>
      </c>
    </row>
    <row r="43" spans="2:3">
      <c r="B43" s="201" t="s">
        <v>530</v>
      </c>
      <c r="C43" s="202">
        <v>193.277777777778</v>
      </c>
    </row>
    <row r="44" spans="2:3">
      <c r="B44" s="201" t="s">
        <v>531</v>
      </c>
      <c r="C44" s="202">
        <v>191.210526315789</v>
      </c>
    </row>
    <row r="45" spans="2:3">
      <c r="B45" s="201" t="s">
        <v>532</v>
      </c>
      <c r="C45" s="202">
        <v>178.95454545454501</v>
      </c>
    </row>
    <row r="46" spans="2:3">
      <c r="B46" s="201" t="s">
        <v>533</v>
      </c>
      <c r="C46" s="202">
        <v>179.68421052631601</v>
      </c>
    </row>
    <row r="47" spans="2:3">
      <c r="B47" s="201" t="s">
        <v>534</v>
      </c>
      <c r="C47" s="202">
        <v>200.210526315789</v>
      </c>
    </row>
    <row r="48" spans="2:3">
      <c r="B48" s="201" t="s">
        <v>535</v>
      </c>
      <c r="C48" s="202">
        <v>157.81818181818201</v>
      </c>
    </row>
    <row r="49" spans="2:3">
      <c r="B49" s="201" t="s">
        <v>536</v>
      </c>
      <c r="C49" s="202">
        <v>143.636363636364</v>
      </c>
    </row>
    <row r="50" spans="2:3">
      <c r="B50" s="201" t="s">
        <v>537</v>
      </c>
      <c r="C50" s="202">
        <v>201.76190476190499</v>
      </c>
    </row>
    <row r="51" spans="2:3">
      <c r="B51" s="201" t="s">
        <v>538</v>
      </c>
      <c r="C51" s="202">
        <v>206.81818181818201</v>
      </c>
    </row>
    <row r="52" spans="2:3">
      <c r="B52" s="201" t="s">
        <v>539</v>
      </c>
      <c r="C52" s="202">
        <v>186.772727272727</v>
      </c>
    </row>
    <row r="53" spans="2:3">
      <c r="B53" s="201" t="s">
        <v>540</v>
      </c>
      <c r="C53" s="202">
        <v>156.59090909090901</v>
      </c>
    </row>
    <row r="54" spans="2:3">
      <c r="B54" s="201" t="s">
        <v>541</v>
      </c>
      <c r="C54" s="202">
        <v>166.95454545454501</v>
      </c>
    </row>
    <row r="55" spans="2:3">
      <c r="B55" s="201" t="s">
        <v>542</v>
      </c>
      <c r="C55" s="202">
        <v>157.142857142857</v>
      </c>
    </row>
    <row r="56" spans="2:3">
      <c r="B56" s="201" t="s">
        <v>543</v>
      </c>
      <c r="C56" s="202">
        <v>151.636363636364</v>
      </c>
    </row>
    <row r="57" spans="2:3">
      <c r="B57" s="201" t="s">
        <v>544</v>
      </c>
      <c r="C57" s="202">
        <v>156.65217391304299</v>
      </c>
    </row>
    <row r="58" spans="2:3">
      <c r="B58" s="201" t="s">
        <v>545</v>
      </c>
      <c r="C58" s="202">
        <v>145.57142857142901</v>
      </c>
    </row>
    <row r="59" spans="2:3">
      <c r="B59" s="201" t="s">
        <v>546</v>
      </c>
      <c r="C59" s="202">
        <v>146.1</v>
      </c>
    </row>
    <row r="60" spans="2:3">
      <c r="B60" s="201" t="s">
        <v>547</v>
      </c>
      <c r="C60" s="202">
        <v>156.78260869565199</v>
      </c>
    </row>
    <row r="61" spans="2:3">
      <c r="B61" s="201" t="s">
        <v>548</v>
      </c>
      <c r="C61" s="202">
        <v>192.90476190476201</v>
      </c>
    </row>
    <row r="62" spans="2:3">
      <c r="B62" s="201" t="s">
        <v>549</v>
      </c>
      <c r="C62" s="202">
        <v>187.227272727273</v>
      </c>
    </row>
    <row r="63" spans="2:3">
      <c r="B63" s="201" t="s">
        <v>550</v>
      </c>
      <c r="C63" s="202">
        <v>192.363636363636</v>
      </c>
    </row>
    <row r="64" spans="2:3">
      <c r="B64" s="201" t="s">
        <v>551</v>
      </c>
      <c r="C64" s="202">
        <v>170.857142857143</v>
      </c>
    </row>
    <row r="65" spans="2:4">
      <c r="B65" s="201" t="s">
        <v>552</v>
      </c>
      <c r="C65" s="202">
        <v>199.565217391304</v>
      </c>
    </row>
    <row r="66" spans="2:4">
      <c r="B66" s="201" t="s">
        <v>553</v>
      </c>
      <c r="C66" s="202">
        <v>237.45454545454501</v>
      </c>
    </row>
    <row r="67" spans="2:4">
      <c r="B67" s="201" t="s">
        <v>554</v>
      </c>
      <c r="C67" s="202">
        <v>233.3</v>
      </c>
    </row>
    <row r="68" spans="2:4">
      <c r="B68" s="201" t="s">
        <v>555</v>
      </c>
      <c r="C68" s="202">
        <v>214.18181818181799</v>
      </c>
    </row>
    <row r="69" spans="2:4">
      <c r="B69" s="201" t="s">
        <v>556</v>
      </c>
      <c r="C69" s="202">
        <v>216.31818181818201</v>
      </c>
    </row>
    <row r="70" spans="2:4">
      <c r="B70" s="201" t="s">
        <v>557</v>
      </c>
      <c r="C70" s="202">
        <v>218.9</v>
      </c>
    </row>
    <row r="71" spans="2:4">
      <c r="B71" s="201" t="s">
        <v>558</v>
      </c>
      <c r="C71" s="202">
        <v>199.6</v>
      </c>
    </row>
    <row r="72" spans="2:4">
      <c r="B72" s="201" t="s">
        <v>559</v>
      </c>
      <c r="C72" s="202">
        <v>165.59090909090909</v>
      </c>
    </row>
    <row r="73" spans="2:4">
      <c r="B73" s="201" t="s">
        <v>560</v>
      </c>
      <c r="C73" s="202">
        <v>164.35</v>
      </c>
    </row>
    <row r="74" spans="2:4">
      <c r="B74" s="201" t="s">
        <v>561</v>
      </c>
      <c r="C74" s="202">
        <v>179.77272727272728</v>
      </c>
    </row>
    <row r="75" spans="2:4">
      <c r="B75" s="201" t="s">
        <v>562</v>
      </c>
      <c r="C75" s="202">
        <v>188.42857142857142</v>
      </c>
    </row>
    <row r="76" spans="2:4">
      <c r="B76" s="201" t="s">
        <v>563</v>
      </c>
      <c r="C76" s="202">
        <v>162.59090909090909</v>
      </c>
    </row>
    <row r="77" spans="2:4">
      <c r="B77" s="201" t="s">
        <v>564</v>
      </c>
      <c r="C77" s="202">
        <v>133.13043478260869</v>
      </c>
    </row>
    <row r="78" spans="2:4">
      <c r="B78" s="201" t="s">
        <v>565</v>
      </c>
      <c r="C78" s="202">
        <v>124</v>
      </c>
    </row>
    <row r="79" spans="2:4">
      <c r="B79" s="201" t="s">
        <v>566</v>
      </c>
      <c r="C79" s="202">
        <v>108.04347826086956</v>
      </c>
    </row>
    <row r="80" spans="2:4">
      <c r="B80" s="201"/>
      <c r="C80" s="202"/>
      <c r="D80" s="203"/>
    </row>
    <row r="81" spans="1:3" ht="15.75">
      <c r="B81" s="204"/>
      <c r="C81" s="204"/>
    </row>
    <row r="82" spans="1:3">
      <c r="B82" s="205" t="s">
        <v>567</v>
      </c>
      <c r="C82" s="206">
        <f>AVERAGE(C20:C79)</f>
        <v>218.37312945627127</v>
      </c>
    </row>
    <row r="83" spans="1:3" ht="15.75">
      <c r="B83" s="204"/>
      <c r="C83" s="204"/>
    </row>
    <row r="84" spans="1:3" ht="15.75">
      <c r="B84" s="204"/>
      <c r="C84" s="204" t="s">
        <v>568</v>
      </c>
    </row>
    <row r="85" spans="1:3" ht="15.75">
      <c r="B85" s="204"/>
      <c r="C85" s="204"/>
    </row>
    <row r="86" spans="1:3" ht="15.75">
      <c r="A86" s="75" t="s">
        <v>569</v>
      </c>
      <c r="B86" s="207" t="s">
        <v>570</v>
      </c>
      <c r="C86" s="204"/>
    </row>
    <row r="88" spans="1:3">
      <c r="B88" s="199" t="s">
        <v>494</v>
      </c>
    </row>
  </sheetData>
  <hyperlinks>
    <hyperlink ref="B86" r:id="rId1"/>
  </hyperlinks>
  <pageMargins left="0.70866141732283472" right="0.70866141732283472" top="0.74803149606299213" bottom="0.74803149606299213" header="0.31496062992125984" footer="0.31496062992125984"/>
  <pageSetup paperSize="9" scale="55" orientation="portrait" horizontalDpi="300" verticalDpi="3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Proy. Ventas x Canal</vt:lpstr>
      <vt:lpstr>Plan de compensación</vt:lpstr>
      <vt:lpstr>Ptto de promocion del pisco</vt:lpstr>
      <vt:lpstr>Cientes de la empresa</vt:lpstr>
      <vt:lpstr>Estadisticas del pisco</vt:lpstr>
      <vt:lpstr>Calculo WACC</vt:lpstr>
      <vt:lpstr>Tax USA</vt:lpstr>
      <vt:lpstr>S&amp;P500 y T-Bond</vt:lpstr>
      <vt:lpstr>Riesgo Pais</vt:lpstr>
      <vt:lpstr>Balanc. CToro-Constel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Intermon Oxfam</dc:creator>
  <cp:lastModifiedBy>Intermon Oxfam</cp:lastModifiedBy>
  <cp:lastPrinted>2012-12-01T00:05:40Z</cp:lastPrinted>
  <dcterms:created xsi:type="dcterms:W3CDTF">2012-11-30T06:27:32Z</dcterms:created>
  <dcterms:modified xsi:type="dcterms:W3CDTF">2013-04-24T02:04:34Z</dcterms:modified>
</cp:coreProperties>
</file>